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showInkAnnotation="0" defaultThemeVersion="124226"/>
  <mc:AlternateContent xmlns:mc="http://schemas.openxmlformats.org/markup-compatibility/2006">
    <mc:Choice Requires="x15">
      <x15ac:absPath xmlns:x15ac="http://schemas.microsoft.com/office/spreadsheetml/2010/11/ac" url="D:\Dokumenti\04 INVESTICIJE\INVESTICIJE 2024\05 UREDITEV KANDIJSKE CESTE\02 RAZPIS\"/>
    </mc:Choice>
  </mc:AlternateContent>
  <xr:revisionPtr revIDLastSave="0" documentId="13_ncr:1_{C1860FDB-95D1-4D54-980E-59913160C8E1}" xr6:coauthVersionLast="47" xr6:coauthVersionMax="47" xr10:uidLastSave="{00000000-0000-0000-0000-000000000000}"/>
  <bookViews>
    <workbookView xWindow="28680" yWindow="-120" windowWidth="29040" windowHeight="15720" tabRatio="914" firstSheet="20" activeTab="20" xr2:uid="{00000000-000D-0000-FFFF-FFFF00000000}"/>
  </bookViews>
  <sheets>
    <sheet name="KANAL VS1" sheetId="276" state="hidden" r:id="rId1"/>
    <sheet name="KANAL VS2" sheetId="294" state="hidden" r:id="rId2"/>
    <sheet name="KANAL VS3" sheetId="295" state="hidden" r:id="rId3"/>
    <sheet name="KANAL VS4" sheetId="296" state="hidden" r:id="rId4"/>
    <sheet name="KANAL VS5" sheetId="297" state="hidden" r:id="rId5"/>
    <sheet name="KANAL VS6" sheetId="298" state="hidden" r:id="rId6"/>
    <sheet name="TLAČNI VOD TVS" sheetId="299" state="hidden" r:id="rId7"/>
    <sheet name="KANAL PV1" sheetId="303" state="hidden" r:id="rId8"/>
    <sheet name="KANAL PV2" sheetId="304" state="hidden" r:id="rId9"/>
    <sheet name="KANAL PV3" sheetId="305" state="hidden" r:id="rId10"/>
    <sheet name="KANAL PV4" sheetId="306" state="hidden" r:id="rId11"/>
    <sheet name="KANAL PV5" sheetId="307" state="hidden" r:id="rId12"/>
    <sheet name="KANAL PV6" sheetId="308" state="hidden" r:id="rId13"/>
    <sheet name="KANAL PV7" sheetId="309" state="hidden" r:id="rId14"/>
    <sheet name="KANAL PV8" sheetId="310" state="hidden" r:id="rId15"/>
    <sheet name="KANAL PV9" sheetId="311" state="hidden" r:id="rId16"/>
    <sheet name="KANAL PV10" sheetId="312" state="hidden" r:id="rId17"/>
    <sheet name="TLAČNI VOD TPV1" sheetId="313" state="hidden" r:id="rId18"/>
    <sheet name="TLAČNI VOD TPV2" sheetId="314" state="hidden" r:id="rId19"/>
    <sheet name="TLAČNI VOD TPV3" sheetId="315" state="hidden" r:id="rId20"/>
    <sheet name="REKAPITULACIJA" sheetId="365" r:id="rId21"/>
    <sheet name="GD VODOVOD" sheetId="362" r:id="rId22"/>
    <sheet name="GD CESTA" sheetId="364" r:id="rId23"/>
    <sheet name="niz46" sheetId="318" state="hidden" r:id="rId24"/>
  </sheets>
  <definedNames>
    <definedName name="_xlnm.Print_Area" localSheetId="22">'GD CESTA'!$A$1:$F$29</definedName>
    <definedName name="_xlnm.Print_Area" localSheetId="21">'GD VODOVOD'!$A$1:$F$74</definedName>
    <definedName name="_xlnm.Print_Area" localSheetId="7">'KANAL PV1'!$A$1:$G$227</definedName>
    <definedName name="_xlnm.Print_Area" localSheetId="16">'KANAL PV10'!$A$1:$G$179</definedName>
    <definedName name="_xlnm.Print_Area" localSheetId="8">'KANAL PV2'!$A$1:$G$235</definedName>
    <definedName name="_xlnm.Print_Area" localSheetId="9">'KANAL PV3'!$A$1:$G$221</definedName>
    <definedName name="_xlnm.Print_Area" localSheetId="10">'KANAL PV4'!$A$1:$G$193</definedName>
    <definedName name="_xlnm.Print_Area" localSheetId="11">'KANAL PV5'!$A$1:$G$243</definedName>
    <definedName name="_xlnm.Print_Area" localSheetId="12">'KANAL PV6'!$A$1:$G$198</definedName>
    <definedName name="_xlnm.Print_Area" localSheetId="13">'KANAL PV7'!$A$1:$G$210</definedName>
    <definedName name="_xlnm.Print_Area" localSheetId="14">'KANAL PV8'!$A$1:$G$208</definedName>
    <definedName name="_xlnm.Print_Area" localSheetId="15">'KANAL PV9'!$A$1:$G$225</definedName>
    <definedName name="_xlnm.Print_Area" localSheetId="0">'KANAL VS1'!$A$1:$G$212</definedName>
    <definedName name="_xlnm.Print_Area" localSheetId="1">'KANAL VS2'!$A$1:$G$210</definedName>
    <definedName name="_xlnm.Print_Area" localSheetId="2">'KANAL VS3'!$A$1:$G$190</definedName>
    <definedName name="_xlnm.Print_Area" localSheetId="3">'KANAL VS4'!$A$1:$G$188</definedName>
    <definedName name="_xlnm.Print_Area" localSheetId="4">'KANAL VS5'!$A$1:$G$194</definedName>
    <definedName name="_xlnm.Print_Area" localSheetId="5">'KANAL VS6'!$A$1:$G$224</definedName>
    <definedName name="_xlnm.Print_Area" localSheetId="17">'TLAČNI VOD TPV1'!$A$1:$G$149</definedName>
    <definedName name="_xlnm.Print_Area" localSheetId="18">'TLAČNI VOD TPV2'!$A$1:$G$164</definedName>
    <definedName name="_xlnm.Print_Area" localSheetId="19">'TLAČNI VOD TPV3'!$A$1:$G$143</definedName>
    <definedName name="_xlnm.Print_Area" localSheetId="6">'TLAČNI VOD TVS'!$A$1:$G$163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25" i="364" l="1"/>
  <c r="A25" i="364"/>
  <c r="F23" i="364"/>
  <c r="B6" i="364"/>
  <c r="F70" i="362"/>
  <c r="F68" i="362"/>
  <c r="F66" i="362"/>
  <c r="F65" i="362"/>
  <c r="F62" i="362"/>
  <c r="F27" i="364" l="1"/>
  <c r="F29" i="364" s="1"/>
  <c r="F6" i="364" s="1"/>
  <c r="F9" i="364" s="1"/>
  <c r="F51" i="362"/>
  <c r="F60" i="362"/>
  <c r="F57" i="362"/>
  <c r="F54" i="362"/>
  <c r="F48" i="362"/>
  <c r="F45" i="362"/>
  <c r="F43" i="362"/>
  <c r="F41" i="362"/>
  <c r="F39" i="362"/>
  <c r="F37" i="362"/>
  <c r="F36" i="362"/>
  <c r="F35" i="362"/>
  <c r="F34" i="362"/>
  <c r="F31" i="362"/>
  <c r="A31" i="362"/>
  <c r="B6" i="362"/>
  <c r="G11" i="365" l="1"/>
  <c r="F10" i="364"/>
  <c r="F12" i="364" s="1"/>
  <c r="F72" i="362"/>
  <c r="F74" i="362" s="1"/>
  <c r="A33" i="362"/>
  <c r="F6" i="362" l="1"/>
  <c r="F9" i="362" s="1"/>
  <c r="A39" i="362"/>
  <c r="F10" i="362" l="1"/>
  <c r="F12" i="362" s="1"/>
  <c r="G9" i="365"/>
  <c r="G14" i="365" s="1"/>
  <c r="G16" i="365" s="1"/>
  <c r="G18" i="365" s="1"/>
  <c r="A41" i="362"/>
  <c r="A43" i="362" l="1"/>
  <c r="A45" i="362" l="1"/>
  <c r="A47" i="362" s="1"/>
  <c r="A50" i="362" s="1"/>
  <c r="A53" i="362" l="1"/>
  <c r="A56" i="362" s="1"/>
  <c r="A59" i="362" l="1"/>
  <c r="E48" i="318" l="1"/>
  <c r="E51" i="318"/>
  <c r="E54" i="318"/>
  <c r="E57" i="318"/>
  <c r="E60" i="318"/>
  <c r="E64" i="318"/>
  <c r="E66" i="318"/>
  <c r="E70" i="318"/>
  <c r="E72" i="318"/>
  <c r="E74" i="318"/>
  <c r="E77" i="318"/>
  <c r="E82" i="318"/>
  <c r="E85" i="318"/>
  <c r="E88" i="318"/>
  <c r="E91" i="318"/>
  <c r="E95" i="318"/>
  <c r="E99" i="318"/>
  <c r="E102" i="318"/>
  <c r="E106" i="318"/>
  <c r="E109" i="318"/>
  <c r="E111" i="318"/>
  <c r="E114" i="318"/>
  <c r="E117" i="318"/>
  <c r="E121" i="318"/>
  <c r="E127" i="318"/>
  <c r="E129" i="318"/>
  <c r="E132" i="318"/>
  <c r="E135" i="318"/>
  <c r="E139" i="318"/>
  <c r="E158" i="318"/>
  <c r="E162" i="318"/>
  <c r="E166" i="318"/>
  <c r="E169" i="318"/>
  <c r="E172" i="318"/>
  <c r="E175" i="318"/>
  <c r="E179" i="318"/>
  <c r="E182" i="318"/>
  <c r="E185" i="318"/>
  <c r="E189" i="318"/>
  <c r="E192" i="318"/>
  <c r="E196" i="318"/>
  <c r="E200" i="318"/>
  <c r="E204" i="318"/>
  <c r="E208" i="318"/>
  <c r="E212" i="318"/>
  <c r="E215" i="318"/>
  <c r="E218" i="318"/>
  <c r="E225" i="318"/>
  <c r="E228" i="318"/>
  <c r="E231" i="318"/>
  <c r="E234" i="318"/>
  <c r="C50" i="315"/>
  <c r="C85" i="315"/>
  <c r="C125" i="315" s="1"/>
  <c r="C90" i="315"/>
  <c r="C93" i="315"/>
  <c r="C98" i="315"/>
  <c r="C101" i="315"/>
  <c r="C105" i="315"/>
  <c r="C117" i="315"/>
  <c r="C133" i="315"/>
  <c r="C55" i="314"/>
  <c r="C90" i="314"/>
  <c r="C138" i="314" s="1"/>
  <c r="C94" i="314"/>
  <c r="C99" i="314"/>
  <c r="C102" i="314"/>
  <c r="C107" i="314"/>
  <c r="C110" i="314"/>
  <c r="C114" i="314"/>
  <c r="C126" i="314"/>
  <c r="C130" i="314"/>
  <c r="C150" i="314" s="1"/>
  <c r="C146" i="314"/>
  <c r="C154" i="314"/>
  <c r="C52" i="313"/>
  <c r="C87" i="313"/>
  <c r="C92" i="313"/>
  <c r="C95" i="313"/>
  <c r="C100" i="313"/>
  <c r="C103" i="313"/>
  <c r="C107" i="313"/>
  <c r="C119" i="313"/>
  <c r="C123" i="313"/>
  <c r="C135" i="313" s="1"/>
  <c r="C131" i="313"/>
  <c r="C139" i="313"/>
  <c r="C45" i="312"/>
  <c r="C86" i="312"/>
  <c r="C89" i="312"/>
  <c r="C93" i="312"/>
  <c r="C105" i="312"/>
  <c r="C109" i="312"/>
  <c r="C121" i="312" s="1"/>
  <c r="C117" i="312"/>
  <c r="C125" i="312"/>
  <c r="C153" i="312"/>
  <c r="C53" i="311"/>
  <c r="C88" i="311"/>
  <c r="C133" i="311" s="1"/>
  <c r="C92" i="311"/>
  <c r="C98" i="311"/>
  <c r="C101" i="311"/>
  <c r="C106" i="311"/>
  <c r="C109" i="311"/>
  <c r="C113" i="311"/>
  <c r="C125" i="311"/>
  <c r="C141" i="311"/>
  <c r="C173" i="311"/>
  <c r="C174" i="311"/>
  <c r="C175" i="311"/>
  <c r="C183" i="311"/>
  <c r="C191" i="311"/>
  <c r="C199" i="311"/>
  <c r="C54" i="310"/>
  <c r="C89" i="310"/>
  <c r="C134" i="310" s="1"/>
  <c r="C93" i="310"/>
  <c r="C99" i="310"/>
  <c r="C102" i="310"/>
  <c r="C107" i="310"/>
  <c r="C110" i="310"/>
  <c r="C114" i="310"/>
  <c r="C126" i="310"/>
  <c r="C138" i="310"/>
  <c r="C142" i="310"/>
  <c r="C173" i="310"/>
  <c r="C174" i="310"/>
  <c r="C54" i="309"/>
  <c r="C89" i="309"/>
  <c r="C134" i="309" s="1"/>
  <c r="C93" i="309"/>
  <c r="C99" i="309"/>
  <c r="C102" i="309"/>
  <c r="C107" i="309"/>
  <c r="C110" i="309"/>
  <c r="C114" i="309"/>
  <c r="C126" i="309"/>
  <c r="C142" i="309"/>
  <c r="C177" i="309"/>
  <c r="C178" i="309"/>
  <c r="C179" i="309"/>
  <c r="C54" i="308"/>
  <c r="C89" i="308"/>
  <c r="C93" i="308"/>
  <c r="C99" i="308"/>
  <c r="C102" i="308"/>
  <c r="C106" i="308"/>
  <c r="C118" i="308"/>
  <c r="C134" i="308"/>
  <c r="C164" i="308"/>
  <c r="C54" i="307"/>
  <c r="C93" i="307"/>
  <c r="C141" i="307" s="1"/>
  <c r="C97" i="307"/>
  <c r="C102" i="307"/>
  <c r="C105" i="307"/>
  <c r="C110" i="307"/>
  <c r="C113" i="307"/>
  <c r="C117" i="307"/>
  <c r="C129" i="307"/>
  <c r="C133" i="307"/>
  <c r="C153" i="307" s="1"/>
  <c r="C149" i="307"/>
  <c r="C157" i="307"/>
  <c r="C190" i="307"/>
  <c r="C191" i="307"/>
  <c r="C200" i="307"/>
  <c r="C201" i="307"/>
  <c r="C209" i="307"/>
  <c r="C45" i="306"/>
  <c r="C84" i="306"/>
  <c r="C129" i="306" s="1"/>
  <c r="C90" i="306"/>
  <c r="C93" i="306"/>
  <c r="C98" i="306"/>
  <c r="C101" i="306"/>
  <c r="C105" i="306"/>
  <c r="C117" i="306"/>
  <c r="C121" i="306"/>
  <c r="C133" i="306" s="1"/>
  <c r="C137" i="306"/>
  <c r="C166" i="306"/>
  <c r="C54" i="305"/>
  <c r="C89" i="305"/>
  <c r="C134" i="305" s="1"/>
  <c r="C93" i="305"/>
  <c r="C99" i="305"/>
  <c r="C102" i="305"/>
  <c r="C107" i="305"/>
  <c r="C110" i="305"/>
  <c r="C114" i="305"/>
  <c r="C126" i="305"/>
  <c r="C142" i="305"/>
  <c r="C146" i="305"/>
  <c r="C179" i="305"/>
  <c r="C187" i="305"/>
  <c r="C54" i="304"/>
  <c r="C89" i="304"/>
  <c r="C93" i="304"/>
  <c r="C99" i="304"/>
  <c r="C102" i="304"/>
  <c r="C107" i="304"/>
  <c r="C110" i="304"/>
  <c r="C114" i="304"/>
  <c r="C126" i="304"/>
  <c r="C134" i="304"/>
  <c r="C142" i="304"/>
  <c r="C174" i="304"/>
  <c r="C175" i="304"/>
  <c r="C176" i="304"/>
  <c r="C184" i="304"/>
  <c r="C192" i="304"/>
  <c r="C200" i="304"/>
  <c r="C54" i="303"/>
  <c r="C93" i="303"/>
  <c r="C141" i="303" s="1"/>
  <c r="C97" i="303"/>
  <c r="C102" i="303"/>
  <c r="C105" i="303"/>
  <c r="C110" i="303"/>
  <c r="C113" i="303"/>
  <c r="C117" i="303"/>
  <c r="C129" i="303"/>
  <c r="C133" i="303"/>
  <c r="C149" i="303"/>
  <c r="C153" i="303"/>
  <c r="C183" i="303"/>
  <c r="C184" i="303"/>
  <c r="C185" i="303"/>
  <c r="C193" i="303"/>
  <c r="C50" i="299"/>
  <c r="C85" i="299"/>
  <c r="C129" i="299" s="1"/>
  <c r="C90" i="299"/>
  <c r="C93" i="299"/>
  <c r="C98" i="299"/>
  <c r="C101" i="299"/>
  <c r="C105" i="299"/>
  <c r="C117" i="299"/>
  <c r="C121" i="299"/>
  <c r="C141" i="299" s="1"/>
  <c r="C137" i="299"/>
  <c r="C145" i="299"/>
  <c r="C45" i="298"/>
  <c r="C84" i="298"/>
  <c r="C132" i="298" s="1"/>
  <c r="C93" i="298"/>
  <c r="C96" i="298"/>
  <c r="C101" i="298"/>
  <c r="C104" i="298"/>
  <c r="C108" i="298"/>
  <c r="C120" i="298"/>
  <c r="C124" i="298"/>
  <c r="C148" i="298" s="1"/>
  <c r="C140" i="298"/>
  <c r="C144" i="298"/>
  <c r="C152" i="298"/>
  <c r="C187" i="298"/>
  <c r="C188" i="298"/>
  <c r="C189" i="298"/>
  <c r="C190" i="298"/>
  <c r="C198" i="298"/>
  <c r="C45" i="297"/>
  <c r="C84" i="297"/>
  <c r="C125" i="297" s="1"/>
  <c r="C94" i="297"/>
  <c r="C97" i="297"/>
  <c r="C101" i="297"/>
  <c r="C113" i="297"/>
  <c r="C117" i="297"/>
  <c r="C137" i="297" s="1"/>
  <c r="C133" i="297"/>
  <c r="C141" i="297"/>
  <c r="C168" i="297"/>
  <c r="C49" i="296"/>
  <c r="C84" i="296"/>
  <c r="C125" i="296" s="1"/>
  <c r="C90" i="296"/>
  <c r="C93" i="296"/>
  <c r="C98" i="296"/>
  <c r="C101" i="296"/>
  <c r="C105" i="296"/>
  <c r="C117" i="296"/>
  <c r="C133" i="296"/>
  <c r="C161" i="296"/>
  <c r="C54" i="295"/>
  <c r="C89" i="295"/>
  <c r="C122" i="295" s="1"/>
  <c r="C95" i="295"/>
  <c r="C98" i="295"/>
  <c r="C102" i="295"/>
  <c r="C114" i="295"/>
  <c r="C130" i="295"/>
  <c r="C134" i="295"/>
  <c r="C163" i="295"/>
  <c r="C49" i="294"/>
  <c r="C88" i="294"/>
  <c r="C94" i="294"/>
  <c r="C97" i="294"/>
  <c r="C102" i="294"/>
  <c r="C105" i="294"/>
  <c r="C109" i="294"/>
  <c r="C121" i="294"/>
  <c r="C125" i="294"/>
  <c r="C133" i="294"/>
  <c r="C141" i="294"/>
  <c r="C145" i="294"/>
  <c r="C176" i="294"/>
  <c r="C177" i="294"/>
  <c r="C178" i="294"/>
  <c r="C179" i="294"/>
  <c r="C49" i="276"/>
  <c r="C84" i="276"/>
  <c r="C126" i="276" s="1"/>
  <c r="C90" i="276"/>
  <c r="C93" i="276"/>
  <c r="C98" i="276"/>
  <c r="C101" i="276"/>
  <c r="C105" i="276"/>
  <c r="C117" i="276"/>
  <c r="C134" i="276"/>
  <c r="C166" i="276"/>
  <c r="C167" i="276"/>
  <c r="C168" i="276"/>
  <c r="C169" i="276"/>
  <c r="C177" i="276"/>
  <c r="C185" i="276"/>
  <c r="D239" i="318" l="1"/>
  <c r="E239" i="318" s="1"/>
  <c r="E241" i="318" s="1"/>
  <c r="C19" i="318" s="1"/>
  <c r="C20" i="318" s="1"/>
  <c r="E141" i="318"/>
  <c r="C18" i="318" s="1"/>
</calcChain>
</file>

<file path=xl/sharedStrings.xml><?xml version="1.0" encoding="utf-8"?>
<sst xmlns="http://schemas.openxmlformats.org/spreadsheetml/2006/main" count="3778" uniqueCount="402">
  <si>
    <t>05.</t>
  </si>
  <si>
    <t>04.150</t>
  </si>
  <si>
    <t>04.170</t>
  </si>
  <si>
    <t>05.005</t>
  </si>
  <si>
    <t>02.021</t>
  </si>
  <si>
    <t>01.041</t>
  </si>
  <si>
    <t>Izvedba zaščitnih arheoloških raziskav in arheološki nadzor v času izgradnje kanalizacije</t>
  </si>
  <si>
    <t>Ostala nepredvidena zemeljska dela; obračun po dejanskih stroških porabe časa in materiala po vpisu v gradbeni dnevnik; Ocena 10% od vrednosti zemeljskih del</t>
  </si>
  <si>
    <t xml:space="preserve">kanal :   </t>
  </si>
  <si>
    <t>Ostala nepredvidena  dela; obračun po dejanskih stroških porabe časa in materiala po vpisu v gradbeni dnevnik; Ocena 10% od vrednosti del, obračun po dejanskih stroških</t>
  </si>
  <si>
    <t>Izdelava varnostnega načrta za celoten projekt</t>
  </si>
  <si>
    <t xml:space="preserve">objekt:   </t>
  </si>
  <si>
    <t xml:space="preserve">lokacija :   </t>
  </si>
  <si>
    <t xml:space="preserve">investitor:   </t>
  </si>
  <si>
    <t xml:space="preserve">  </t>
  </si>
  <si>
    <t>A</t>
  </si>
  <si>
    <t>GRADBENA DELA</t>
  </si>
  <si>
    <t>ZEMELJSKA DELA</t>
  </si>
  <si>
    <t>KANALIZACIJA</t>
  </si>
  <si>
    <t>A.</t>
  </si>
  <si>
    <t>m3</t>
  </si>
  <si>
    <t>SKUPAJ ZEMELJSKA DELA:</t>
  </si>
  <si>
    <t>m1</t>
  </si>
  <si>
    <t>kom</t>
  </si>
  <si>
    <t>SKUPAJ KANALIZACIJA</t>
  </si>
  <si>
    <t>m2</t>
  </si>
  <si>
    <t>PRIPRAVLJALNA DELA</t>
  </si>
  <si>
    <t>01.</t>
  </si>
  <si>
    <t>01.010</t>
  </si>
  <si>
    <t>ocena stroškov</t>
  </si>
  <si>
    <t>01.020</t>
  </si>
  <si>
    <t>01.030</t>
  </si>
  <si>
    <t>02.</t>
  </si>
  <si>
    <t>02.010</t>
  </si>
  <si>
    <t>02.020</t>
  </si>
  <si>
    <t>02.030</t>
  </si>
  <si>
    <t>02.040</t>
  </si>
  <si>
    <t>02.050</t>
  </si>
  <si>
    <t>Urejanje planuma spodnjega ustroja izkopa  ter planiranje s točnostjo do +/-3 cm po projektiranem naklonu.</t>
  </si>
  <si>
    <t>Ocena stroškov</t>
  </si>
  <si>
    <t>KRIŽANJA Z OSTALIMI KOMUNALNIMI VODI</t>
  </si>
  <si>
    <t>ur</t>
  </si>
  <si>
    <t>04.</t>
  </si>
  <si>
    <t>SKUPAJ PRIPRAVLJALNA DELA</t>
  </si>
  <si>
    <t>SKUPAJ KRIŽANJA Z OSTALIMI KOMUNALNIMI VODI</t>
  </si>
  <si>
    <t>02.070</t>
  </si>
  <si>
    <t>02.080</t>
  </si>
  <si>
    <t>02.090</t>
  </si>
  <si>
    <t>02.100</t>
  </si>
  <si>
    <t>02.110</t>
  </si>
  <si>
    <t>02.120</t>
  </si>
  <si>
    <t>02.130</t>
  </si>
  <si>
    <t xml:space="preserve">REKAPITULACIJA: </t>
  </si>
  <si>
    <t xml:space="preserve">SKUPAJ </t>
  </si>
  <si>
    <t>01.050</t>
  </si>
  <si>
    <t>ocena skupaj</t>
  </si>
  <si>
    <t>01.040</t>
  </si>
  <si>
    <t>02.160</t>
  </si>
  <si>
    <t>02.170</t>
  </si>
  <si>
    <t>kos</t>
  </si>
  <si>
    <t>04.030</t>
  </si>
  <si>
    <t>01.060</t>
  </si>
  <si>
    <t>Izvajanje projektantskega nadzora</t>
  </si>
  <si>
    <t>02.135</t>
  </si>
  <si>
    <t>02.180</t>
  </si>
  <si>
    <t>02.190</t>
  </si>
  <si>
    <t>Identifikacija obstoječih podzemnih instalacij in komunalnih vodov s strani pooblaščenih predstavnikov upravljalcev instalacij z oznako križanj;</t>
  </si>
  <si>
    <t>02.131</t>
  </si>
  <si>
    <t>Postavitev gradbenih profilov na vzpostavljeno os trase cevovoda ter določitev nivoja za merjenje globine izkopa in polaganje cevovoda</t>
  </si>
  <si>
    <t>02.022</t>
  </si>
  <si>
    <t>02.132</t>
  </si>
  <si>
    <t>m</t>
  </si>
  <si>
    <t>Križanje kanalizacijske cevi s komunalnimi vodi, vključno z zaščitno cevjo, zasipom in s sprotnim utrjevanjem v slojih po 20 cm.</t>
  </si>
  <si>
    <t>01.070</t>
  </si>
  <si>
    <t>01.080</t>
  </si>
  <si>
    <t>01.042</t>
  </si>
  <si>
    <t>Izvedba finalnega sloja makadamskega cestišča in dvorišč ter bankin, s peskom v debelini 5 cm</t>
  </si>
  <si>
    <t>04.064b</t>
  </si>
  <si>
    <t>04.010b</t>
  </si>
  <si>
    <t>04.062b</t>
  </si>
  <si>
    <t>04.010c</t>
  </si>
  <si>
    <t>Opomba 1:</t>
  </si>
  <si>
    <t>Opomba 2:</t>
  </si>
  <si>
    <t>Sestavni del projektanskega popisa del je tudi tehnično poročilo in grafične priloge projekta, v katerem so posamezne postavke in dela podrobneje opisana.</t>
  </si>
  <si>
    <t>Pri posameznih delih naveden izraz gradbiščna deponija pojmuje deponijo za katero poskrbi izvajalec del sam. Pri tem so zajeti vsi potrebni prevozi, prenosi, nakladanja in razkladanja od gradbišča do gradbiščne deponije.</t>
  </si>
  <si>
    <t>Rušenje betonskih vrtnih robnikov z nakladanjem in odvozom izkopanega materiala na trajno gradbeno deponijo, ki jo pridobi izvajalec sam;</t>
  </si>
  <si>
    <t>Rušenje betonskih cestnih robnikov z nakladanjem in odvozom izkopanega materialana trajno gradbeno deponijo, ki jo pridobi izvajalec sam ;</t>
  </si>
  <si>
    <r>
      <t>Ročni izkop ob obstoječih podzemnih inštalacijah, na mestih prevezav, križanj in približevanj. Izkop v zemlji III. do IV.ktg z odlaganjem odkopanega materiala na gradbiščno deponijo. Obračun za 1m</t>
    </r>
    <r>
      <rPr>
        <vertAlign val="superscript"/>
        <sz val="10"/>
        <rFont val="Arial"/>
        <family val="2"/>
        <charset val="238"/>
      </rPr>
      <t>3</t>
    </r>
    <r>
      <rPr>
        <sz val="10"/>
        <rFont val="Arial"/>
        <family val="2"/>
      </rPr>
      <t>.</t>
    </r>
  </si>
  <si>
    <r>
      <t>Kombiniran izkop jarkov, globine 0-2 m s poševnim odsekavanjem stranic jarka pod kotom 70</t>
    </r>
    <r>
      <rPr>
        <sz val="10"/>
        <rFont val="Arial"/>
        <family val="2"/>
        <charset val="238"/>
      </rPr>
      <t>°</t>
    </r>
    <r>
      <rPr>
        <sz val="10"/>
        <rFont val="Arial"/>
        <family val="2"/>
      </rPr>
      <t xml:space="preserve"> in odlaganjem izkopanega materiala na gradbiščno deponijo. Obračun za 1m</t>
    </r>
    <r>
      <rPr>
        <vertAlign val="superscript"/>
        <sz val="10"/>
        <rFont val="Arial"/>
        <family val="2"/>
        <charset val="238"/>
      </rPr>
      <t>3</t>
    </r>
    <r>
      <rPr>
        <sz val="10"/>
        <rFont val="Arial"/>
        <family val="2"/>
      </rPr>
      <t>.</t>
    </r>
  </si>
  <si>
    <r>
      <t>Kombiniran izkop jarkov, globine 2 do 4m s poševnim odsekavanjem stranic jarka pod kotom 70° in odlaganjem izkopanega materiala na gradbiščno deponijo. Obračun za 1m</t>
    </r>
    <r>
      <rPr>
        <vertAlign val="superscript"/>
        <sz val="10"/>
        <rFont val="Arial"/>
        <family val="2"/>
        <charset val="238"/>
      </rPr>
      <t>3</t>
    </r>
    <r>
      <rPr>
        <sz val="10"/>
        <rFont val="Arial"/>
        <family val="2"/>
      </rPr>
      <t>.</t>
    </r>
  </si>
  <si>
    <t xml:space="preserve">Izdelava temeljne plasti posteljice debeline 10-15 cm z 2 x sejanim peskom granulacije 0-4 mm, s planiranjem in strojnim utrjevanjem do 95% po standardnem Proctorjevem postopku. Na temeljno plast se izvede 3-5 cm debel nasip, v katerega si cev pri polaganju sama izoblikuje ležišče. Natančnost izdelave posteljice je do +/- 1 cm (v primeru slabo nosilnih tal je posteljico izvesti v debelini 15-20 cm). </t>
  </si>
  <si>
    <t>Zasip jarka s kamnolomskim materialom po končanih montažnih delih, z nabijanjem v plasteh po 20cm, zbitost min. 95% po SPP, težka komprimacijska sredstva uporabiti šele 1m nad temenom cevi. Pod asfaltnimi in makadamskimi površinami!</t>
  </si>
  <si>
    <t>Zasip jarka z izkopanim materialom in komprimiranjem v slojih po 20 cm. Na nepovoznih površinah.</t>
  </si>
  <si>
    <r>
      <t xml:space="preserve">Asfaltiranje prekopanih in rezanih asfaltnih površin cestišča z dvoslojnim asfaltom -  nosilna asfaltna plast iz BD 22 (B 50/70) v debelini 6 cm in obrabna asfaltna plast iz BB 8s (B 70/100) v debelini 3 cm, na predhodno pripravljeno podlago (kamnita posteljica in tamponski drobljenec), s čiščenjem odrezanih robov z izpihovalcem vročega zraka (200 - 600 </t>
    </r>
    <r>
      <rPr>
        <sz val="10"/>
        <rFont val="Arial"/>
        <family val="2"/>
        <charset val="238"/>
      </rPr>
      <t>°</t>
    </r>
    <r>
      <rPr>
        <sz val="10"/>
        <rFont val="Arial"/>
        <family val="2"/>
      </rPr>
      <t>C, pritisk 3-9 bar) ter polaganjem in uvaljanjem obeh slojev asfalta.  Po položenem in enkrat uvaljanem zadnjem sloju asfalta z vibracijskim valjarjem, ki ima na obodu izboklino, na stiku med staro in novo asfaltno površino vtisnemo dilatacijsko fugo širine 1 cm in globine do 2 cm. Površino asfalta se nato dokončno utrdi z vibracijskim valjarjem, fuga pa se na koncu zalije s trajno elastično maso segreto na 170 °C in zgladi z drsno smučko. V primeru da se takoj zatem sprosti promet, se zalivno maso nad dilatacijo posipa še s PVC drobljencem ali kamnito moko.</t>
    </r>
  </si>
  <si>
    <t>Dobava in vgrajevanje cestnih robnikov 15/25/100, vse komplet s temeljem 30/40 cm, MB 15 in zalivanjem stikov in zasipom.</t>
  </si>
  <si>
    <t>Dobava in vgrajevanje vrtnih robnikov 5/15/100 na podložni beton MB 15, skupaj z zalivanjem stikov in zasipom.</t>
  </si>
  <si>
    <r>
      <t>Nakladanje in odvoz odvečnega materiala od izkopa na trajno gradbeno deponijo, ki jo pridobi izvajalec sam; z nakladanjem, razkladanjem, razgrinjanjem, planiranjem in utrjevanjem v slojih po 50 cm. Skupaj s stroški deponije. Obračun za 1 m</t>
    </r>
    <r>
      <rPr>
        <vertAlign val="superscript"/>
        <sz val="10"/>
        <rFont val="Arial"/>
        <family val="2"/>
        <charset val="238"/>
      </rPr>
      <t>3</t>
    </r>
    <r>
      <rPr>
        <sz val="10"/>
        <rFont val="Arial"/>
        <family val="2"/>
      </rPr>
      <t xml:space="preserve"> (upoštevan faktor razrahljivosti izkopanega materiala).</t>
    </r>
  </si>
  <si>
    <t>Črpanje vode iz gradbene jame v času gradnje, vključno z vsemi potrebnimi deli in pripravo črpalnih mest. Gradbena jama mora biti v času gradnje suha.</t>
  </si>
  <si>
    <t>Dobava kanalizacijskih cevi iz centrifugiranega poliestra SN 10000; DN 250</t>
  </si>
  <si>
    <t>Polaganje kanalizacijskih cevi DN 250 iz centrifugiranega poliestra SN 10000, po projektiranih padcih na pripravljeno peščeno posteljico debeline 12cm, po navodilih proizvajalca, kompletno z vsemi potrebnimi deli in prenosi.</t>
  </si>
  <si>
    <t>Polaganje kanalizacijskih cevi DN 250 iz centrifugiranega poliestra SN 10000, po projektiranih padcih na betonsko podlago ter obbetoniranjem cevi 10 cm nad temenom in ob straneh, kompletno s spajanjem ter vsemi pomožnimi deli in prenosi in dobavo in vgraditvijo betona.</t>
  </si>
  <si>
    <t>04.062a</t>
  </si>
  <si>
    <t xml:space="preserve">Tlačni preizkus vodotesnosti položenih kanalizacijskih cevi po veljavnem standardu EN1610:   </t>
  </si>
  <si>
    <t>Pregled in čiščenje kanala pred izvedbo tlačnega preizkusa vodotesnosti.</t>
  </si>
  <si>
    <t xml:space="preserve">Preizkus vodotesnosti revizijskih kanalizacijskih jaškov po veljavnem standardu EN1610.   </t>
  </si>
  <si>
    <t>04.160</t>
  </si>
  <si>
    <t xml:space="preserve">Pregled kanala s TV kamero. </t>
  </si>
  <si>
    <t>04.065b</t>
  </si>
  <si>
    <t>04.079b</t>
  </si>
  <si>
    <t>04.133</t>
  </si>
  <si>
    <t>04.175</t>
  </si>
  <si>
    <t>04.195</t>
  </si>
  <si>
    <t>04.010a</t>
  </si>
  <si>
    <t>04.064a</t>
  </si>
  <si>
    <t>04.065a</t>
  </si>
  <si>
    <t>04.079a</t>
  </si>
  <si>
    <t>* Ocena stroškov; obračun po dejanskih stroških porabe časa in materiala po vpisu v gradbeni dnevnik;</t>
  </si>
  <si>
    <t>globina 1.5 do 2.0 m                       kom</t>
  </si>
  <si>
    <t>globina 2.0 do 2.5 m                       kom</t>
  </si>
  <si>
    <t>globina 2.5 do 3.0 m                       kom</t>
  </si>
  <si>
    <t>globina 3.0 do 3.5 m                       kom</t>
  </si>
  <si>
    <t>globina do 1.5 m                            kom</t>
  </si>
  <si>
    <t>globina do 1.5 m                             kom</t>
  </si>
  <si>
    <t>KANALIZACIJA ZA ODVOD KOMUNALNIH</t>
  </si>
  <si>
    <t>ODPADNIH VODA</t>
  </si>
  <si>
    <t>04.063a</t>
  </si>
  <si>
    <t>04.063b</t>
  </si>
  <si>
    <t>Dobava vodotesnega prefabriciranega revizijskega jaška iz poliestrske cevi fi 80 cm, skupaj z betonskim obročem, razbremenilno ploščo in tipskim LTŽ pokrovom s tesnenjem, fi 600mm, nosilnosti 400kN in napisom KANALIZACIJA s črkami velikosti min. 5cm.</t>
  </si>
  <si>
    <t>Montaža (vgradnja) prefabriciranega revizijskega jaška iz poliestrske cevi fi 80 cm, skupaj z betonskim obročem, razbremenilno ploščo in z napravo AB temelja, obdelavo vtokov in iztoka  ter z vgraditvijo LTŽ pokrova s tesnenjem, fi 600mm, nosilnosti 400kN in napisom KANALIZACIJA s črkami velikosti min. 5cm. Ležišče jaška iz betona C12/15, debeline 10cm. Pred montažo jaška je prostor pod muldo zapolniti z betonom C12/15.</t>
  </si>
  <si>
    <t>Dobava kaskadnega vodotesnega prefabriciranega revizijskega jaška s podslapjem (suhi preliv) iz poliestrske cevi fi 100 cm, skupaj z betonskim obročem, razbremenilno ploščo in tipskim LTŽ pokrovom s tesnenjem, fi 600mm, nosilnosti 400kN in napisom KANALIZACIJA s črkami velikosti min. 5cm.</t>
  </si>
  <si>
    <t>Montaža (vgradnja) kaskadnega prefabriciranega revizijskega jaška s podslapjem (suhi preliv) iz poliestrske cevi fi 100 cm, skupaj z betonskim obročem, razbremenilno ploščo in z napravo AB temelja, obdelavo vtokov in iztoka  ter z vgraditvijo LTŽ pokrova s tesnenjem, fi 600mm, nosilnosti 400kN in napisom KANALIZACIJA s črkami velikosti min. 5cm. Ležišče jaška iz betona C12/15, debeline 10cm. Pred montažo jaška je prostor pod muldo zapolniti z betonom C12/15.</t>
  </si>
  <si>
    <t>Fino planiranje terena in humuniziranje s humusom od izkopa, po končanem zasipu jarka, v povprečni debelini 15 cm. Kompletno z odstranitvijo površinskega kamenja, zatravitvijo s travnim semenom ter vzpostavitvijo terena najmanj v obliko prvotnega stanja, vključno s pridobitvijo, od lastnikov tangiranih privatnih zemljišč, izjav o vzpostavljenosti zemljišč v prvotno stanje.</t>
  </si>
  <si>
    <t>Izdelava peščenega obsipa cevi do 30 cm nad temenom s peskom granulacije 8 - 16 mm. Obsip cevi izvajati v slojih po 15 cm, istočasno na obeh straneh cevi ter paziti, da se cev ne premakne iz ležišča. Utrditev po SPP do 95% trdnosti, če ni drugače predpisano. Vključno z vsemi spremljajočimi deli, transporti in dobavo materiala.</t>
  </si>
  <si>
    <t>Rušenje asfalta s predhodnim rezanjem z motorno rezilko, vključno z nakladanjem in odvozom izkopanega materiala na trajno gradbeno deponijo, ki jo pridobi izvajalec sam;</t>
  </si>
  <si>
    <t>Odriv zgornjega sloja - humusa, v povprečni debelini 15 cm, do gradbiščne deponije; humus odlagati ločeno od ostalega materiala</t>
  </si>
  <si>
    <t>Izdelava projekta izvedenih del in projekta za obratovanje in vzdrževanje za celoten projekt;  v skladu z ZGO-1B, pravilnikom o podrobnejši vsebini projektne dokumentacije in navodilih upravljavca kanalizacije.</t>
  </si>
  <si>
    <t>Geodetski posnetek izvedenega cevovoda po predpisih geodetske stroke in navodilih upravljavca.</t>
  </si>
  <si>
    <t>01.043</t>
  </si>
  <si>
    <t>Vpis komunalnih vodov in naprav v uradne evidence</t>
  </si>
  <si>
    <t>Zakoličenje osi kanalizacije z zavarovanjem osi, oznako revizijskih jaškov ter vrisom v kataster.</t>
  </si>
  <si>
    <t xml:space="preserve">Pridobitev potrebnih dovoljenj in postavitev predpisane prometne signalizacije, skladno z Zakonom o varnosti v cestnem prometu, za delno zaporo ceste, za vzdolžne in prečne prekope cestišča. </t>
  </si>
  <si>
    <t>Izkop v zemlji III. do IV. ktg, ocena 80 % izkopa</t>
  </si>
  <si>
    <t>Izkop v zemlji V.ktg, ocena 20 % izkopa</t>
  </si>
  <si>
    <t>Opomba 3:</t>
  </si>
  <si>
    <t xml:space="preserve">lokacija:   </t>
  </si>
  <si>
    <t>Novo mesto, junij 2008</t>
  </si>
  <si>
    <t xml:space="preserve">Zakoličenje osi kanalizacije z zavarovanjem osi, oznako revizijskih jaškov, vris v kataster in izdelava geodetskega posnetka </t>
  </si>
  <si>
    <t>Postavitev prometne signalizacije za potrebno delno zaporo ceste, vključno s pridobitvijo vse potrebne dokumentacij in vseh potrebnih dovoljenj</t>
  </si>
  <si>
    <t>Geodetski posnetek izvedenega cevovoda</t>
  </si>
  <si>
    <t>Izdelava projekta izvedenih del in projekta za obratovanje in vzdrževanje</t>
  </si>
  <si>
    <t>Izdelava varnostnega načrta</t>
  </si>
  <si>
    <t>Odriv zgornjega sloja - humus ter deponiranje ob gradbišču;</t>
  </si>
  <si>
    <t>Rušenje asfalta z rezanjem z motorno rezilko, širine do 2.00 m z nakladanjem in odvozom izkopanega materiala na deponijo do 10 km ;</t>
  </si>
  <si>
    <t>Ročni izkop ob obstoječih podzemnih inštalacijah, na mestih prevezav, križanj in približevanj. Izkop v zemlji III. do IV. ktg;</t>
  </si>
  <si>
    <t>Kombiniran izkop jarkov, globine 0-2 m s poševnim odsekavanjem stranic jarka.</t>
  </si>
  <si>
    <t>Kombiniran izkop jarkov, globine 2 do 4m s poševnim odsekavanjem stranic jarka.</t>
  </si>
  <si>
    <t>Izdelava temeljne plasti posteljice debeline 10-15 cm z 2 x sejanim peskom granulacije 0-4 mm, s planiranjem in strojnim utrjevanjem do 95% po standardnem Proctorjevem postopku, natančnost izdelave posteljice je do +/- 1 cm (v primeru slabo nosilnih tal je posteljico izvesti v debelini 15-20 cm).</t>
  </si>
  <si>
    <t>Izdelava peščenega obsipa cevi do 30 cm nad temenom s peskom granulacije 8 - 16 mm. Na peščeno posteljico se izvede 3-5 cm debel nasip, v katerega si cev izdela ležišče. Obsip cevi izvajati v slojih po 15 cm, istočasno na obeh straneh cevi ter paziti, da se cev ne premakne iz ležišča. Utrditev po SPP do 95% trdnosti</t>
  </si>
  <si>
    <t>Zasip jarka s kamnolomskim materialom po končanih montažnih delih, z nabijanjem v plasteh po 20cm, zbitost min. 95% po SPP, težka komprimacijska sredstva uporabiti šele 1m nad temenom cevi. Pod asfaltnimi in makadamskimi površinami;</t>
  </si>
  <si>
    <t>Zasip jarka z izkopanim materialom in komprimiranjem v slojih po 20 cm</t>
  </si>
  <si>
    <t>Izvedba tamponskega sloja na voznih površinah iz tamponskega materiala v debelini 20 cm z utrjevanjem do predpisane zbitosti. Pod asfaltnimi in makadamskimi površinami;</t>
  </si>
  <si>
    <t>Odvoz odvečnega materiala od izkopa na deponijo izvajalca z nakladanjem in razgrinjanjem na deponiji. Deponija oddaljena do 10 km  ;</t>
  </si>
  <si>
    <t>Fino planiranje terena in humuniziranje po končanem zasipu jarka. Kompletno z odstranitvijo površinskega kamenja in zasejanjem trave.</t>
  </si>
  <si>
    <t>Črpanje vode iz gradbene jame v času gradnje</t>
  </si>
  <si>
    <t>SKUPAJ</t>
  </si>
  <si>
    <t>Zajeta so pripravljalna, zemeljska dela in betonska dela za izvedbo tlačnega voda in črpališča, dobava in montaža črpališča in tlačnih cevi pa je zajeta v načrtu strojnih instalacij v sklopu tega projekta.</t>
  </si>
  <si>
    <t>Novo mesto, junij 2009</t>
  </si>
  <si>
    <t xml:space="preserve">Izvedba hišnih priključkov iz PVC gladkih cevi, nazivne togosti SN 8 kN/m2, premera dn 160 mm, na vtočne revizijske jaške, vključno z vsemi spremljajočimi deli, materiali, transporti, dobavo in polaganjem priključne PVC cevi. Priključno cev na notranji strani jaška obdelati s poliestrom, na zunanji strani jaška pa obbetonirati. Posamezne hišne priključke izvesti na globini, ki bo omogočala gravitacijski odtok iz pripadajoče hiše. Priključke  izvesti v dolžini izven asfaltiranega dela ceste oziroma v dolžini izven osi vzporedno potekajočih vodov. Ocenjena dožina 3 m. </t>
  </si>
  <si>
    <t>Asfaltiranje prekopanih in rezanih asfaltnih površin cestišča z dvoslojnim asfaltom -  nosilna asfaltna plast iz AC 16 base B 50/70 A4 v debelini 6 cm in obrabna asfaltna plast iz AC 8 surf B 70/100 A4 v debelini 3 cm, na predhodno pripravljeno podlago (kamnita posteljica in tamponski drobljenec), s čiščenjem odrezanih robov z izpihovalcem vročega zraka (200 - 600 °C, pritisk 3-9 bar) ter polaganjem in uvaljanjem obeh slojev asfalta.  Po položenem in enkrat uvaljanem zadnjem sloju asfalta z vibracijskim valjarjem, ki ima na obodu izboklino, na stiku med staro in novo asfaltno površino vtisnemo dilatacijsko fugo širine 1 cm in globine do 2 cm. Površino asfalta se nato dokončno utrdi z vibracijskim valjarjem, fuga pa se na koncu zalije s trajno elastično maso segreto na 170 °C in zgladi z drsno smučko. V primeru da se takoj zatem sprosti promet, se zalivno maso nad dilatacijo posipa še s PVC drobljencem ali kamnito moko.</t>
  </si>
  <si>
    <t>Opomba 4:</t>
  </si>
  <si>
    <t>količina</t>
  </si>
  <si>
    <t>cena na enoto</t>
  </si>
  <si>
    <t>KOMUNALA NOVO MESTO d.o.o.</t>
  </si>
  <si>
    <t>Podbevškova 12, 8000 Novo mesto</t>
  </si>
  <si>
    <t>KANAL VS1</t>
  </si>
  <si>
    <t>VELIKI SLATNIK</t>
  </si>
  <si>
    <t>Priprava gradbišča v dolžini l=412 m, odstranitev eventuelnih ovir, ureditev delovnega platoja (postavitev ograje, table, kontejnerja za orodje in slačilnica, WC,..), po končanih delih vzpostavitev prvotnega stanja:</t>
  </si>
  <si>
    <t>Izvedba tamponskega sloja na voznih površinah iz tamponskega materiala v debelini 20 cm in posteljice v debelini 40 cm z utrjevanjem do predpisane zbitosti. Pod asfaltnimi in makadamskimi površinami!; Opomba: izvedba posteljice se lahko opusti v primeru, da je obstoječa posteljica ustrezna (presodi geolog).</t>
  </si>
  <si>
    <t>04.146</t>
  </si>
  <si>
    <t>KANAL VS2</t>
  </si>
  <si>
    <t>Na odseku kanala VS1, med jaškoma VS1-1 in VS1-13, se hkrati z izgradnjo le tega izvede tudi nova elektrokabelska kanalizacija za kasnejše potrebe izvedbe elektro energetskega priključka predvidene čistilne naprave (predmet posebnega projekta). Ocena izvedbe elektro kabelske kanalizacije je zajeta v postavki 04.146 v tem popisu del.</t>
  </si>
  <si>
    <t>Priprava gradbišča v dolžini l=519 m, odstranitev eventuelnih ovir, ureditev delovnega platoja (postavitev ograje, table, kontejnerja za orodje in slačilnica, WC,..), po končanih delih vzpostavitev prvotnega stanja:</t>
  </si>
  <si>
    <t>Dobava in polaganje PVC cevi fi 160mm za poznejše potrebe izvedbe elektro energetskega priključka za predvideno čistilno napravo Veliki Slatnik (predmet posebnega projekta), vključno z vsemi pripravljalnimi deli ter vsemi potrebnimi materiali in objekti (izkopi, zasipi, PVC cevi fi 160mm, PVC opozorilni trak, betonski jaški globine do 1m, premera fi 800mm, opremljeni z LTŽ pokrovi). Cevi se polagajo ob trasi kanalizacije za odvod komunalnih odpadnih voda, hkrati z izvedbo le te.</t>
  </si>
  <si>
    <t>KANAL VS3</t>
  </si>
  <si>
    <t>Priprava gradbišča v dolžini l=114 m, odstranitev eventuelnih ovir, ureditev delovnega platoja (postavitev ograje, table, kontejnerja za orodje in slačilnica, WC,..), po končanih delih vzpostavitev prvotnega stanja:</t>
  </si>
  <si>
    <t>KANAL VS4</t>
  </si>
  <si>
    <t>Priprava gradbišča v dolžini l=107 m, odstranitev eventuelnih ovir, ureditev delovnega platoja (postavitev ograje, table, kontejnerja za orodje in slačilnica, WC,..), po končanih delih vzpostavitev prvotnega stanja:</t>
  </si>
  <si>
    <t>KANAL VS5</t>
  </si>
  <si>
    <t>Priprava gradbišča v dolžini l=22 m, odstranitev eventuelnih ovir, ureditev delovnega platoja (postavitev ograje, table, kontejnerja za orodje in slačilnica, WC,..), po končanih delih vzpostavitev prvotnega stanja:</t>
  </si>
  <si>
    <t>KANAL VS6</t>
  </si>
  <si>
    <t>Priprava gradbišča v dolžini l=170 m, odstranitev eventuelnih ovir, ureditev delovnega platoja (postavitev ograje, table, kontejnerja za orodje in slačilnica, WC,..), po končanih delih vzpostavitev prvotnega stanja:</t>
  </si>
  <si>
    <t>Izvedba betonskih ojačitev cevi pri velikih padcih (med črpališčem in jaškom VS6-1), kompletno z vsemi pcmožnimi deli in prenosi in dobavo in vgraditvijo betona</t>
  </si>
  <si>
    <t>TLAČNI VOD TVS</t>
  </si>
  <si>
    <t>Na odseku kanala VS2, med jaškoma VS2-18 in VS2-19, se hkrati z izgradnjo le tega izvede tudi nova elektrokabelska kanalizacija za kasnejše potrebe izvedbe elektro energetskega priključka predvidene čistilne naprave (predmet posebnega projekta). Ocena izvedbe elektro kabelske kanalizacije je zajeta v postavki 04.146 v tem popisu del.</t>
  </si>
  <si>
    <t>Montaža (vgradnja) prefabriciranega revizijskega jaška iz poliestrske cevi fi 80 cm, skupaj z betonskim obročem, razbremenilno ploščo in z napravo AB temelja, obdelavo vtokov in iztoka  ter z vgraditvijo LTŽ pokrova s tesnenjem, fi 600mm, nosilnosti 400kN in napisom KANALIZACIJA s črkami velikosti min. 5cm ter znakom Občine Novo mesto. Ležišče jaška iz betona C12/15, debeline 10cm. Pred montažo jaška je prostor pod muldo zapolniti z betonom C12/15.</t>
  </si>
  <si>
    <t>Dobava vodotesnega prefabriciranega revizijskega jaška iz poliestrske cevi fi 80 cm, skupaj z betonskim obročem, razbremenilno ploščo in tipskim LTŽ pokrovom s tesnenjem, fi 600mm, nosilnosti 400kN in napisom KANALIZACIJA s črkami velikosti min. 5cm ter znakom Občine Novo mesto.</t>
  </si>
  <si>
    <t>Dobava vodotesnega prefabriciranega revizijskega jaška iz poliestrske cevi fi 100 cm, skupaj z betonskim obročem, razbremenilno ploščo in tipskim LTŽ pokrovom s tesnenjem, fi 600mm, nosilnosti 400kN in napisom KANALIZACIJA s črkami velikosti min. 5cm ter znakom Občine Novo mesto.</t>
  </si>
  <si>
    <t>Montaža (vgradnja) prefabriciranega revizijskega jaška iz poliestrske cevi fi 100 cm, skupaj z betonskim obročem, razbremenilno ploščo in z napravo AB temelja, obdelavo vtokov in iztoka  ter z vgraditvijo LTŽ pokrova s tesnenjem, fi 600mm, nosilnosti 400kN in napisom KANALIZACIJA s črkami velikosti min. 5cm ter znakom Občine Novo mesto. Ležišče jaška iz betona C12/15, debeline 10cm. Pred montažo jaška je prostor pod muldo zapolniti z betonom C12/15.</t>
  </si>
  <si>
    <t>Dobava kaskadnega vodotesnega prefabriciranega revizijskega jaška s podslapjem (suhi preliv) iz poliestrske cevi fi 100 cm, skupaj z betonskim obročem, razbremenilno ploščo in tipskim LTŽ pokrovom s tesnenjem, fi 600mm, nosilnosti 400kN in napisom KANALIZACIJA s črkami velikosti min. 5cm ter znakom Občine Novo mesto.</t>
  </si>
  <si>
    <t>Montaža (vgradnja) kaskadnega prefabriciranega revizijskega jaška s podslapjem (suhi preliv) iz poliestrske cevi fi 100 cm, skupaj z betonskim obročem, razbremenilno ploščo in z napravo AB temelja, obdelavo vtokov in iztoka  ter z vgraditvijo LTŽ pokrova s tesnenjem, fi 600mm, nosilnosti 400kN in napisom KANALIZACIJA s črkami velikosti min. 5cm ter znakom Občine Novo mesto. Ležišče jaška iz betona C12/15, debeline 10cm. Pred montažo jaška je prostor pod muldo zapolniti z betonom C12/15.</t>
  </si>
  <si>
    <t>Na odseku tlačnega voda TVS, med temenom TVS-7 in jaškom VS1-13, se hkrati z izgradnjo le tega izvede tudi nova elektrokabelska kanalizacija za kasnejše potrebe izvedbe elektro energetskega priključka predvidene čistilne naprave (predmet posebnega projekta). Ocena izvedbe elektro kabelske kanalizacije je zajeta v postavki 04.146 v tem popisu del.</t>
  </si>
  <si>
    <t>Priprava gradbišča v dolžini l=166 m, odstranitev eventuelnih ovir, ureditev delovnega platoja, po končanih delih vzpostavitev prvotnega stanja;</t>
  </si>
  <si>
    <t>Dobava in polaganje PVC cevi fi 160mm za poznejše potrebe izvedbe elektro energetskega priključka za predvideno čistilno napravo Veliki Slatnik (predmet posebnega projekta), vključno z vsemi pripravljalnimi deli ter vsemi potrebnimi materiali in objekti (izkopi, zasipi, PVC cevi fi 160mm, PVC opozorilni trak, betonski jaški globine do 1m, premera fi 800mm, opremljeni z LTŽ pokrovi). Cevi se polagajo ob trasi tlačnega voda, hkrati z izvedbo le te.</t>
  </si>
  <si>
    <t>Opomba 5:</t>
  </si>
  <si>
    <t>Dobava kaskadnega vodotesnega prefabriciranega revizijskega jaška s podslapjem (suhi preliv) iz poliestrske cevi fi 80 cm, skupaj z betonskim obročem, razbremenilno ploščo in tipskim LTŽ pokrovom s tesnenjem, fi 600mm, nosilnosti 400kN in napisom KANALIZACIJA s črkami velikosti min. 5cm ter znakom Občine Novo mesto.</t>
  </si>
  <si>
    <t>Montaža (vgradnja) kaskadnega prefabriciranega revizijskega jaška s podslapjem (suhi preliv) iz poliestrske cevi fi 80 cm, skupaj z betonskim obročem, razbremenilno ploščo in z napravo AB temelja, obdelavo vtokov in iztoka  ter z vgraditvijo LTŽ pokrova s tesnenjem, fi 600mm, nosilnosti 400kN in napisom KANALIZACIJA s črkami velikosti min. 5cm ter znakom Občine Novo mesto. Ležišče jaška iz betona C12/15, debeline 10cm. Pred montažo jaška je prostor pod muldo zapolniti z betonom C12/15.</t>
  </si>
  <si>
    <t>KANAL PV1</t>
  </si>
  <si>
    <t>POTOV VRH</t>
  </si>
  <si>
    <t>Priprava gradbišča v dolžini l=286 m, odstranitev eventuelnih ovir, ureditev delovnega platoja (postavitev ograje, table, kontejnerja za orodje in slačilnica, WC,..), po končanih delih vzpostavitev prvotnega stanja:</t>
  </si>
  <si>
    <t>KANAL PV2</t>
  </si>
  <si>
    <t>Priprava gradbišča v dolžini l=198 m, odstranitev eventuelnih ovir, ureditev delovnega platoja (postavitev ograje, table, kontejnerja za orodje in slačilnica, WC,..), po končanih delih vzpostavitev prvotnega stanja:</t>
  </si>
  <si>
    <t>KANAL PV3</t>
  </si>
  <si>
    <t>Priprava gradbišča v dolžini l=134 m, odstranitev eventuelnih ovir, ureditev delovnega platoja (postavitev ograje, table, kontejnerja za orodje in slačilnica, WC,..), po končanih delih vzpostavitev prvotnega stanja:</t>
  </si>
  <si>
    <t>Izvedba betonskih ojačitev cevi pri velikih padcih (med jaškoma PV3-2 in PV3-4), kompletno z vsemi pcmožnimi deli in prenosi in dobavo in vgraditvijo betona</t>
  </si>
  <si>
    <t>KANAL PV4</t>
  </si>
  <si>
    <t>Priprava gradbišča v dolžini l=57 m, odstranitev eventuelnih ovir, ureditev delovnega platoja (postavitev ograje, table, kontejnerja za orodje in slačilnica, WC,..), po končanih delih vzpostavitev prvotnega stanja:</t>
  </si>
  <si>
    <t>KANAL PV5</t>
  </si>
  <si>
    <t>Priprava gradbišča v dolžini l=473 m, odstranitev eventuelnih ovir, ureditev delovnega platoja (postavitev ograje, table, kontejnerja za orodje in slačilnica, WC,..), po končanih delih vzpostavitev prvotnega stanja:</t>
  </si>
  <si>
    <t>Izvedba betonskih ojačitev cevi pri velikih padcih (4x med jaškoma PV5-4 in KPV5-5 in 1x med jaškoma KPV5-5 in PV5-6), kompletno z vsemi pcmožnimi deli in prenosi in dobavo in vgraditvijo betona</t>
  </si>
  <si>
    <t>Dobava prefabriciranega umirjevalnega jaška globine do 2,0m iz PE cevi fi 80 cm, skupaj z betonskim obročem, razbremenilno ploščo in tipskim LTŽ pokrovom s tesnenjem, fi 600mm, nosilnosti 400kN in napisom KANALIZACIJA s črkami velikosti min. 5cm ter znakom Občine Novo mesto.</t>
  </si>
  <si>
    <t>Montaža (vgradnja) prefabriciranega umirjevalnega jaška globine do 2,0m iz PE cevi fi 80 cm, skupaj z betonskim obročem, razbremenilno ploščo in z napravo AB temelja, obdelavo vtokov in iztoka  ter z vgraditvijo LTŽ pokrova s tesnenjem, fi 600mm, nosilnosti 400kN in napisom KANALIZACIJA s črkami velikosti min. 5cm ter znakom Občine Novo mesto. Ležišče jaška iz betona C12/15, debeline 10cm. Pred montažo jaška je prostor pod muldo zapolniti z betonom C12/15.</t>
  </si>
  <si>
    <t>KANAL PV6</t>
  </si>
  <si>
    <t>Priprava gradbišča v dolžini l=37 m, odstranitev eventuelnih ovir, ureditev delovnega platoja (postavitev ograje, table, kontejnerja za orodje in slačilnica, WC,..), po končanih delih vzpostavitev prvotnega stanja:</t>
  </si>
  <si>
    <t>KANAL PV7</t>
  </si>
  <si>
    <t>Priprava gradbišča v dolžini l=91 m, odstranitev eventuelnih ovir, ureditev delovnega platoja (postavitev ograje, table, kontejnerja za orodje in slačilnica, WC,..), po končanih delih vzpostavitev prvotnega stanja:</t>
  </si>
  <si>
    <t>KANAL PV8</t>
  </si>
  <si>
    <t>Priprava gradbišča v dolžini l=82 m, odstranitev eventuelnih ovir, ureditev delovnega platoja (postavitev ograje, table, kontejnerja za orodje in slačilnica, WC,..), po končanih delih vzpostavitev prvotnega stanja:</t>
  </si>
  <si>
    <t>KANAL PV9</t>
  </si>
  <si>
    <t>Priprava gradbišča v dolžini l=157 m, odstranitev eventuelnih ovir, ureditev delovnega platoja (postavitev ograje, table, kontejnerja za orodje in slačilnica, WC,..), po končanih delih vzpostavitev prvotnega stanja:</t>
  </si>
  <si>
    <t>KANAL PV10</t>
  </si>
  <si>
    <t>Priprava gradbišča v dolžini l=2 m, odstranitev eventuelnih ovir, ureditev delovnega platoja (postavitev ograje, table, kontejnerja za orodje in slačilnica, WC,..), po končanih delih vzpostavitev prvotnega stanja:</t>
  </si>
  <si>
    <t>TLAČNI VOD TPV1</t>
  </si>
  <si>
    <t>Priprava gradbišča v dolžini l=628 m, odstranitev eventuelnih ovir, ureditev delovnega platoja, po končanih delih vzpostavitev prvotnega stanja;</t>
  </si>
  <si>
    <t>TLAČNI VOD TPV2</t>
  </si>
  <si>
    <t>Priprava gradbišča v dolžini l=162 m, odstranitev eventuelnih ovir, ureditev delovnega platoja, po končanih delih vzpostavitev prvotnega stanja;</t>
  </si>
  <si>
    <t>TLAČNI VOD TPV3</t>
  </si>
  <si>
    <t>Priprava gradbišča v dolžini l=44 m, odstranitev eventuelnih ovir, ureditev delovnega platoja, po končanih delih vzpostavitev prvotnega stanja;</t>
  </si>
  <si>
    <t>04.005a</t>
  </si>
  <si>
    <t>Dobava kanalizacijskih cevi iz centrifugiranega poliestra SN 10000; DN 200</t>
  </si>
  <si>
    <t>04.005b</t>
  </si>
  <si>
    <t>Polaganje kanalizacijskih cevi DN 200 iz centrifugiranega poliestra SN 10000, po projektiranih padcih na pripravljeno peščeno posteljico debeline 12cm, po navodilih proizvajalca, kompletno z vsemi potrebnimi deli in prenosi.</t>
  </si>
  <si>
    <t>Kjer trasa kanala poteka v vozišču asfaltnih cest je le te, po izgradnji kanalizacije, potrebno asfaltirati v celi širini, če so prekopane za več kot tretjino širine ceste!</t>
  </si>
  <si>
    <t>Opomba 6:</t>
  </si>
  <si>
    <t>Kjer trasa tlačnega voda poteka v vozišču asfaltnih cest, je le te, po izgradnji tlačnega voda, potrebno asfaltirati v celi širini, če so prekopane za več kot tretjino širine ceste!</t>
  </si>
  <si>
    <t>Tlačni vod TVS se na odsekih kanalov VS1, VS2 in VS6, kjer poteka vzporedno z njimi, izvede hkrati z izgradnjo le teh! V popisu del tlačnega voda TVS je tako upoštevana preplastitev asfaltnih površin v celi širini (če so prekopane za več kot tretjino širine ceste) le na tistih odsekih, kjer tlačni vod TVS poteka samostojno v asfaltnih površinah (med temeni TVS-5 in TVS5-a ter med temenom TVS7 in jaškom VS1-13). Na ostalih odsekih tlačnega voda TVS pa je preplastitev upoštevana v popisih del pri kanalih VS1, VS2 in VS6.</t>
  </si>
  <si>
    <t>Tlačni vod TPV2 se na odsekih kanala PV3, kjer poteka vzporedno z njim, izvede hkrati z izgradnjo le tega! V popisu del tlačnega voda TPV2 je tako upoštevana preplastitev asfaltnih površin v celi širini (če so prekopane za več kot tretjino širine ceste) le na tistih odsekih, kjer tlačni vod TPV2 poteka samostojno v asfaltnih površinah (med temeni TPV2-6a in TPV2-7 ter med temenom TPV2-8 in jaškom PV1-11). Na ostalih odsekih tlačnega voda TPV2 pa je preplastitev upoštevana v popisih del pri kanalu PV3.</t>
  </si>
  <si>
    <t>Na trasi tlačnega voda TPV3 se hkrati z izgradnjo le tega izvede tudi makadamska dostopna pot za potrebe dostopa do črpališča Potov vrh 3.</t>
  </si>
  <si>
    <t>Izvedba finalnega sloja makadamskega dostopne poti do črpališča Potov Vrh 3, s peskom v debelini 5 cm</t>
  </si>
  <si>
    <t>Izvedba finalnega sloja makadamskega cestišča, s peskom v debelini 5 cm</t>
  </si>
  <si>
    <t>Preplastitev obstoječih asfaltnih površin cestišča; obrabna asfaltna plast iz AC 8 surf B 70/100 A4, v debelini 3 cm;</t>
  </si>
  <si>
    <t>1.</t>
  </si>
  <si>
    <t>Zakoličba cevovoda po projektu.</t>
  </si>
  <si>
    <t>2.</t>
  </si>
  <si>
    <t>Priprava gradbišča in dostopov do trase ter pridobitev začasnih in trajnih deponijskih prostorov.</t>
  </si>
  <si>
    <t>kpl</t>
  </si>
  <si>
    <t>3.</t>
  </si>
  <si>
    <t>Pridobitev dovoljenja za delno zaporo ceste, postavitev cestno prometne signalizacije, in vspostavitev v prvotno stanje.</t>
  </si>
  <si>
    <t>4.</t>
  </si>
  <si>
    <t>Zavarovanje lomnih točk ter postavitev gradbenih profilov.</t>
  </si>
  <si>
    <t>5.</t>
  </si>
  <si>
    <t>6.</t>
  </si>
  <si>
    <t>Ročni izkop in zasip jarka za cevovod globine 0-2 m in širine do 1.0 m, z odmetavanjem 1,0 m od roba izkopa. Humus odlagati ločeno od ostalega materiala ter s poravnavanjem dna jarka na točnost +- 3 cm. Izkop pri obstoječih instalacijah, in na strojno nedostopnih mestih.</t>
  </si>
  <si>
    <t>v terenu IV. kat.</t>
  </si>
  <si>
    <t>7.</t>
  </si>
  <si>
    <t>8.</t>
  </si>
  <si>
    <t>9.</t>
  </si>
  <si>
    <t>10.</t>
  </si>
  <si>
    <t>Zasip zgornjega sloja jarka oz. celotnega jarka nad osnovnim zasipom s tamponskim materialom, ustrezne kakovosti za vozišče, do višine obstoječega terena v oz. ob vozišču, z utrjevanjem do predpisane trdnosti za vozišče, vključno z dobavo materiala ter podbetoniranjem in postavitvijo LŽ cestnih kap na višino teren.</t>
  </si>
  <si>
    <t>11.</t>
  </si>
  <si>
    <t>Ročno asfaltiranje prekopanih asfaltnih vozišč z bitudrobirjem, debeline 5 cm in asfaltbetonom deb.3 cm, vključno s pripravo podlage.</t>
  </si>
  <si>
    <t>m2 - BD 22 (BIT60)</t>
  </si>
  <si>
    <t>m2 - AB 11 (BIT45)</t>
  </si>
  <si>
    <t>12.</t>
  </si>
  <si>
    <t>13.</t>
  </si>
  <si>
    <t>Ročno fino planiranje prekopanih in poškodovanih površin z razgrnitvijo humusa in odstranitvijo vsega površinskega kamenja  ter zatravitvijo. Prizna se pas max. širine 6 m po kmetijskih površinah oz. pas 3 m kjer  cevovod poteka ob cesti.</t>
  </si>
  <si>
    <t>s sejanjem trave:</t>
  </si>
  <si>
    <t>brez zatravitve:</t>
  </si>
  <si>
    <t>14.</t>
  </si>
  <si>
    <t>Fino poravnavanje  makadamskih  poti in cestnih bankin, vključno z dobavo peska in utrjevanjem.</t>
  </si>
  <si>
    <t>15.</t>
  </si>
  <si>
    <t>16.</t>
  </si>
  <si>
    <t>17.</t>
  </si>
  <si>
    <t>18.</t>
  </si>
  <si>
    <t>SKUPAJ GRADBENA DELA:</t>
  </si>
  <si>
    <t>Dobava duktilnih cevi, tlačni razred "K9", spoj TYTON, ISO 2531, vključno s tesnilnim materialom. Cevi so znotraj oblite s cementnim oblivom po ISO 4179, zunaj pa pocinkane in bitumizirane.</t>
  </si>
  <si>
    <t>Montaža litoželeznih cevi na pripravljeno posteljico, komplet z vsemi prenosi in spuščanjem v jarek, s tlačno preizkušnjo izvedeno po navodilih proizvajalca cevi, vključno z opozorilnim trakom položenim po osnovnem zasipu. Posteljica in osnovni zasip zajeta v gradbenih delih.</t>
  </si>
  <si>
    <t xml:space="preserve">Dobava in montaža litoželeznih fazonskih kosov iz duktilne litine, s spojnim in tesnilnim materialom. </t>
  </si>
  <si>
    <t>Zasun E2, DN 80, artikel št.400, PN 16</t>
  </si>
  <si>
    <t>NH 80 - 750, PN16</t>
  </si>
  <si>
    <t>PH 80 - 750, PN16</t>
  </si>
  <si>
    <t>Dobava in montaža avtomatskega zračnika</t>
  </si>
  <si>
    <t>Označba zasunov, zračnikov in hidrantov na Al stebriček, oz. objekt.</t>
  </si>
  <si>
    <t>Označba Z,  SIST 1005</t>
  </si>
  <si>
    <t xml:space="preserve">Označba ZR,  </t>
  </si>
  <si>
    <t>Označba PH,  SIST 1007+C26</t>
  </si>
  <si>
    <t>Izdelava projekta izvedenih del, skladno z ZGO-1-UPB  in projekta za vpis v uradne evidence.</t>
  </si>
  <si>
    <t xml:space="preserve"> III. kat.</t>
  </si>
  <si>
    <t xml:space="preserve"> IV. kat.</t>
  </si>
  <si>
    <t>19.</t>
  </si>
  <si>
    <t>20.</t>
  </si>
  <si>
    <t>21.</t>
  </si>
  <si>
    <t>Strojno rušenje asfalta debeline do 8 cm, z nakladanjem na kamion in odvozom na deponijo izvajalca. Asfaltno vozišče je treba na mestu prekopa predhodno strojno obrezati.</t>
  </si>
  <si>
    <t>Pranje in dezinfekcija cevovoda po prEN 805, ki ga izvede pristojni Zavod za zdravstveno varstvovključno s pridobitvijo atesta o izvedenem klornem šoku.</t>
  </si>
  <si>
    <t>1.5.1.</t>
  </si>
  <si>
    <t xml:space="preserve"> GRADBENA DELA</t>
  </si>
  <si>
    <t>1.5.2.</t>
  </si>
  <si>
    <t xml:space="preserve"> MONTAŽNA DELA</t>
  </si>
  <si>
    <t>1.5.1. GRADBENA DELA</t>
  </si>
  <si>
    <t>Identifikacija obstoječih komunalnih vodov. Po odkazu upravljalcev (Telekom, Elektro, Komunala).</t>
  </si>
  <si>
    <t>v terenu  III. kat.</t>
  </si>
  <si>
    <r>
      <t>m</t>
    </r>
    <r>
      <rPr>
        <vertAlign val="superscript"/>
        <sz val="12"/>
        <color indexed="8"/>
        <rFont val="Arial"/>
        <family val="2"/>
        <charset val="238"/>
      </rPr>
      <t>3</t>
    </r>
  </si>
  <si>
    <r>
      <t>m</t>
    </r>
    <r>
      <rPr>
        <vertAlign val="superscript"/>
        <sz val="12"/>
        <rFont val="Arial"/>
        <family val="2"/>
        <charset val="238"/>
      </rPr>
      <t>3</t>
    </r>
  </si>
  <si>
    <t>Strojni izkop jarka v gozdnih površinah globine 1,2 - 2,5m in širine dna jarka 0.6 m, za cevovod, z upoštevanjem oteženega izkopa zaradi drevesnih štorov in korenin ter pospravilom štorov. Material odlagati 1,0 m od roba jarka, ter s poravnavanjem dna jarka na točnost +- 3 cm. Humus odlagati ločeno od ostalega materiala. Od tega v terenu:</t>
  </si>
  <si>
    <t xml:space="preserve"> V.-VI. kat.</t>
  </si>
  <si>
    <t>Zasipavanje cevnega jarka v gozdnih površinah nad osnovnim zasipom cevovoda z izkopanim materialom, lahkim utrjevanjem ter odstranjevanjem kamnov večjih kot  premera 20cm in štorov, ločen zasip z humusom odloženim ločeno od ostalega izkopa, vključno z oblikovanjem brežin, planiranjem in čiščenjem trase, podbetoniranjem in postavitvijo LŽ cestnih kap na višino teren ter nakladanjem in odvozom odvečnega materiala in drevesnih štorov na deponijo izvajalca.</t>
  </si>
  <si>
    <t>Strojni izkop jarka globine 1,2 - 2,5 m in širine dna jarka 0.6 m, za cevovod v oz. ob vozišču, z neposrednim nalaganjem na kamion in odvozom na deponijo izvajalca, ter s poravnavanjem dna jarka na točnost +- 3 cm.</t>
  </si>
  <si>
    <t>Od tega v terenu:</t>
  </si>
  <si>
    <t xml:space="preserve"> III. kat. </t>
  </si>
  <si>
    <t xml:space="preserve"> IV. kat. </t>
  </si>
  <si>
    <t xml:space="preserve"> V-VI. kat.</t>
  </si>
  <si>
    <t>Izdelava posteljice LŽ cevi v debelini  10 cm in osnovnega zasipa  v debelini 30  cm nad temenom cevi, s peskom granulacije 0-32 mm, oziroma posteljice PE cevi s peskom 0-8 mm, vključno  z dobavo in transportom.</t>
  </si>
  <si>
    <t>pesek 0-32 mm. 0,21 m3/m1 jarka</t>
  </si>
  <si>
    <r>
      <t>m</t>
    </r>
    <r>
      <rPr>
        <vertAlign val="superscript"/>
        <sz val="12"/>
        <color indexed="8"/>
        <rFont val="Arial"/>
        <family val="2"/>
        <charset val="238"/>
      </rPr>
      <t>2</t>
    </r>
  </si>
  <si>
    <t xml:space="preserve">Ročno asfaltiranje cestne mulde z asfaltbetonom debeline 8 cm, vključno s pripravo in utrjevanjem podlage. </t>
  </si>
  <si>
    <t>Sekanje dreves , spravilo hlodov na mesto nakladanja ter sežig  vejevja in čiščenje  trase, drevesa do ø 0,4 m</t>
  </si>
  <si>
    <t>1.5.2. MONTAŽNA DELA</t>
  </si>
  <si>
    <t>DN 80</t>
  </si>
  <si>
    <t>EU kos DN 80</t>
  </si>
  <si>
    <t xml:space="preserve">MMA kos, DN 80-80, BAIO </t>
  </si>
  <si>
    <t xml:space="preserve">MMB kos artikel št. 542, DN 80-80, BAIO </t>
  </si>
  <si>
    <t xml:space="preserve">SIDRNA spojka-STOP, artikel št. 527 G, DN 80, BAIO </t>
  </si>
  <si>
    <t>Dobava in montaža litoželeznih fazonskih lokov iz duktilnega liva, na SIDRNI spoj, s spojnim in tesnilnim materialom.</t>
  </si>
  <si>
    <t>MMK DN80/11st, SIDRNI SPOJ</t>
  </si>
  <si>
    <t>MMK DN80/22 st, SIDRNI SPOJ</t>
  </si>
  <si>
    <t>MMK DN 80/30 st, SIDRNI SPOJ</t>
  </si>
  <si>
    <t>MMK DN 80/45st, SIDRNI SPOJ</t>
  </si>
  <si>
    <t>T kos 80/80</t>
  </si>
  <si>
    <t>Dobava in montaža zasuna E2, s spojnim in tesnilnim materialom, s teleskopsko  vgradbeno garnituro, prilagojeno višini terena in litoželezno okroglo cestno kapo, ki se podbetonira.</t>
  </si>
  <si>
    <r>
      <t xml:space="preserve"> DN 80 artikel št. 992F vključno s podložno ploščo in cestno kapo ø</t>
    </r>
    <r>
      <rPr>
        <sz val="13.8"/>
        <color indexed="8"/>
        <rFont val="Arial"/>
        <family val="2"/>
        <charset val="238"/>
      </rPr>
      <t>370</t>
    </r>
  </si>
  <si>
    <t>Dobava in montaža podzemnega hidranta kot blatni izpust, vključno s spojnim  in tesnilnim materialom, cestno kapo, EN kosom artikel št.549, ki se podbetonira, ter izmero pretoka na hidrantu.</t>
  </si>
  <si>
    <r>
      <t xml:space="preserve">Dobava in montaža nadzemnega lomljivega hidranta, vključno s spojnim  in tesnilnim materialom, </t>
    </r>
    <r>
      <rPr>
        <b/>
        <sz val="12"/>
        <rFont val="Arial"/>
        <family val="2"/>
        <charset val="238"/>
      </rPr>
      <t xml:space="preserve">EN kosom artikel 549  št. 5491002000 z izvrtino 6/4 za priključek </t>
    </r>
    <r>
      <rPr>
        <sz val="12"/>
        <rFont val="Arial"/>
        <family val="2"/>
        <charset val="238"/>
      </rPr>
      <t>, ki se podbetonira, ter izmero pretoka na hidrantu.</t>
    </r>
  </si>
  <si>
    <t>Dobava in postavitev kovinskega stebrička iz eloksiranega aluminija, vključno z izkopom in betoniranjem temelja.</t>
  </si>
  <si>
    <r>
      <t xml:space="preserve">Stebriček Al </t>
    </r>
    <r>
      <rPr>
        <sz val="12"/>
        <color indexed="8"/>
        <rFont val="Symbol"/>
        <family val="1"/>
        <charset val="2"/>
      </rPr>
      <t>f</t>
    </r>
    <r>
      <rPr>
        <b/>
        <sz val="12"/>
        <color indexed="8"/>
        <rFont val="SSPalatino"/>
        <charset val="238"/>
      </rPr>
      <t>50</t>
    </r>
  </si>
  <si>
    <t>Geodetski posnetek zgrajenega cevovoda, ki ga izdela geodetska služba upravljalca Komunale Novo mesto d.o.o., vključno z načrtom izvedenih del.</t>
  </si>
  <si>
    <t>SKUPAJ MONTAŽNA DELA :</t>
  </si>
  <si>
    <t>1.5. NIZ N46 (V27 - V40a)</t>
  </si>
  <si>
    <t>Eventualna nepredvidena in dodatna dela v višini 5 % od načrtovanih del. Obračun po dejanskih stroških in potrjeni gradbeni knjigi.</t>
  </si>
  <si>
    <t>Gradbene odpadke, odvečno zemljino od izkopa in ruševine obstoječih jaškov,  je potrebno odpeljati na deponijo z   ustreznim okoljevarstvenim dovoljenjem oz.  jih predati zbiralcu ali predelovalcu  odpadnega gradbenega materiala. Deponijo si izvajalec pridobi sam. V ceno mora biti vključena tudi pristojbina za deponiranje.</t>
  </si>
  <si>
    <t>opis</t>
  </si>
  <si>
    <t>enota</t>
  </si>
  <si>
    <t xml:space="preserve">količina </t>
  </si>
  <si>
    <t xml:space="preserve">zap. št. </t>
  </si>
  <si>
    <t>Izbrani izvajalec glavnega/sekundarnega cevovoda se zaveže, da izvede tudi vsa gradbena dela za hišne priključka vodovoda. Obračun po enakih cenah kot za glavni/sekundarni cevovod. Hišni priključki niso predmet tega popisa.</t>
  </si>
  <si>
    <t>cena/enota</t>
  </si>
  <si>
    <t>skupaj</t>
  </si>
  <si>
    <t>OP1</t>
  </si>
  <si>
    <t>OP2</t>
  </si>
  <si>
    <t>OP3</t>
  </si>
  <si>
    <t>Pri obračunu količin za zasip je v ceni na enoto upoševan kombiniran zasip (ročni in strojni) z utrjevanjem do predpisane zbitosti.</t>
  </si>
  <si>
    <t>Skupaj brez DDV</t>
  </si>
  <si>
    <t>DDV</t>
  </si>
  <si>
    <t>VSE SKUPAJ z DDV:</t>
  </si>
  <si>
    <t>Dobava potrebne signalizacije ter izvedba delnih oz. popolnih zapor občinskih cest z zavarovanjem prometa na cestah v skladu s pogoji določenimi v dovoljenju za zaporo občinske ceste. Upoštevati zapore za vse tangirane cestne odseke in ves čas trajanja gradnje.</t>
  </si>
  <si>
    <t>Identifikacija obstaječih podzemnih instalacij s strani pooblaščenih predstavnikov upravljalcev.</t>
  </si>
  <si>
    <t>~ vodovod - Komunalan Novo mesto</t>
  </si>
  <si>
    <t>~ kanalizacija - Komunala Novo mesto</t>
  </si>
  <si>
    <t>~ elektrika - Elektro Ljubljana</t>
  </si>
  <si>
    <t>~ telekomunikacije - Telekom</t>
  </si>
  <si>
    <t>Ureditev provizorijev za prehod preko jarka v času gradnje, v skladu s predpisi iz varstva pri delu, z možnostjo prenosa in večkratno uporabo.</t>
  </si>
  <si>
    <t>Odriv oz. odkop humusa v debelini do 20 cm in odvoz na gradbiščno deponijo.</t>
  </si>
  <si>
    <r>
      <t>m</t>
    </r>
    <r>
      <rPr>
        <vertAlign val="superscript"/>
        <sz val="10"/>
        <rFont val="Segoe UI"/>
        <family val="2"/>
        <charset val="238"/>
      </rPr>
      <t>3</t>
    </r>
  </si>
  <si>
    <t xml:space="preserve">Kombiniran izkop gradbene jame (ročno in strojno) z odkopom bočnih sten pod kotom 75° in globine do 1.50 m z nalaganjem izkopanega materiala na kamion in odvozom na gradbiščno deponijo ter na stalno legalno deponijo gradbenega materiala, ki si jo mora pridobiti izvajalec sam, vključno s poravnavo dna jarka v projektiranem padcu, na točnost ± 3 cm. Cena vključuje tudi pristojbino za deponiranje.  </t>
  </si>
  <si>
    <t>m³</t>
  </si>
  <si>
    <t>Izdelava posteljice za cevi v debelini  10 cm in osnovnega zasipa  v debelini 30  cm nad temenom cevi, s peskom granulacije 0-16 mm, vključno  z dobavo peska in transportom ter utrjevanjem.</t>
  </si>
  <si>
    <t xml:space="preserve">• pesek 0-16 mm. </t>
  </si>
  <si>
    <t>Dobava kamnitega nasipnega materiala in zasip jarka na trasi vodovoda v asfaltni cesti in dostopni poti, z nabijanjem v plasteh po 30 cm. Zasip po osnovnem zasipu cevi.</t>
  </si>
  <si>
    <t xml:space="preserve">• frakcije 0-63 mm. </t>
  </si>
  <si>
    <t>Izdelava nevezane nosilne plasti enakozrnatega drobljenca iz kamnine v debelini 30 cm z dobavo materiala in utrjevanjem do predpisane zbitosti v celotni širini ceste.</t>
  </si>
  <si>
    <t>• drobljenec D 32: tampon</t>
  </si>
  <si>
    <t>Novo mesto, maj 2024</t>
  </si>
  <si>
    <t xml:space="preserve">Rušenje betonskega jaška, z nakladanjem ruševin in odvozom na trajno legalizirano  deponijo, vključno z vsemi pristojbinami. </t>
  </si>
  <si>
    <t>Rezanjem asfalta s talno diamantno žago v debelini 6-10 cm,</t>
  </si>
  <si>
    <t>Kombiniran izkop (ročno in strojno) z odkopom bočnih sten pod kotom 75° in globine do 1,5 m z nalaganjem izkopanega materiala na kamion in odvozom na gradbiščno deponijo ter na stalno legalno deponijo gradbenega materiala, ki si jo mora pridobiti izvajalec sam, vključno s poravnavo dna jarka v projektiranem padcu, na točnost ± 3 cm. Cena vključuje tudi pristojbino za deponiranje.  IZKOPI ZA POTREBE PROVIZORIJA</t>
  </si>
  <si>
    <t xml:space="preserve">• teren III., IV. kat. </t>
  </si>
  <si>
    <t>Izdelava bankine iz drobljenca, široke do 1,00 m z dobavo materiala - drobljenec D 32: tampon; in utrjevanjem do predpisane zbitosti v celotni širini bankine.</t>
  </si>
  <si>
    <t>m²</t>
  </si>
  <si>
    <t>Fino planiranje s prekopi poškodovanega terena, najmanj v obliko prvotnega stanja, z utrditvijo primernim za kmetijsko zemljišče, oblikovanjem prekopanih brežin ter odstranitvijo vsega površinskega kamenja in zatravitvijo s semenom.</t>
  </si>
  <si>
    <t>Vgradnja  podložnih plošč ter postavitev NL cestnih kap s prilagoditvijo končni niveleti terena (dobava kap in podložnih plošč je zajeta pri morebitni zamenjavi vodovodnih priključkov).</t>
  </si>
  <si>
    <t>Izvedba ukrepov za varovanje infrastrukturnih vodov ob izkopu jarkov (dodatek za ročne izkope okrog obstoječih vodov, ukrepi podpiranja vodov (s PVC UK SN8 DN200 cevjo ali obbetoniranjem (betona C 25/30 v debelini 10 cm), prilagoditve novim razmeram na terenu (kape, označbe, pokrovi)...). Upoštevati morebitne podpiranja in zamik infrastrukturnih vodov. Način določi upravljavec posameznega voda in ga vpiše v gradbeni dnevnik.</t>
  </si>
  <si>
    <t>m¹</t>
  </si>
  <si>
    <t>~ elektro vod; št. prečkanj: 2, dolžina 5 m</t>
  </si>
  <si>
    <t>~ tlačni vod kanalizacije; št. prečkanj: 1, dolžina 3 m</t>
  </si>
  <si>
    <t>Strojno rušenje asfalta in odvoz na deponijo</t>
  </si>
  <si>
    <t>Asfaltiranje cestišča z asfaltom, obrabno - nosilni sloj AC16 surf B 50/70  A4, debeline 7 cm, s predhodno pripravo na višino.</t>
  </si>
  <si>
    <t>UREDITEV KANDIJSKE CESTE</t>
  </si>
  <si>
    <t>%</t>
  </si>
  <si>
    <t>SKUPNA REKAPITULACIJA</t>
  </si>
  <si>
    <t>SKUPAJ:</t>
  </si>
  <si>
    <t>DDV 22%</t>
  </si>
  <si>
    <t>SKUPAJ z DDV:</t>
  </si>
  <si>
    <t>GD VODOVOD</t>
  </si>
  <si>
    <t>GD CESTA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</si>
</sst>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4" formatCode="_-* #,##0.00\ &quot;€&quot;_-;\-* #,##0.00\ &quot;€&quot;_-;_-* &quot;-&quot;??\ &quot;€&quot;_-;_-@_-"/>
    <numFmt numFmtId="164" formatCode="_-* #,##0\ &quot;SIT&quot;_-;\-* #,##0\ &quot;SIT&quot;_-;_-* &quot;-&quot;\ &quot;SIT&quot;_-;_-@_-"/>
    <numFmt numFmtId="165" formatCode="_-* #,##0\ _S_I_T_-;\-* #,##0\ _S_I_T_-;_-* &quot;-&quot;\ _S_I_T_-;_-@_-"/>
    <numFmt numFmtId="166" formatCode="_-* #,##0.00\ &quot;SIT&quot;_-;\-* #,##0.00\ &quot;SIT&quot;_-;_-* &quot;-&quot;??\ &quot;SIT&quot;_-;_-@_-"/>
    <numFmt numFmtId="167" formatCode="_-* #,##0.00\ _S_I_T_-;\-* #,##0.00\ _S_I_T_-;_-* &quot;-&quot;??\ _S_I_T_-;_-@_-"/>
    <numFmt numFmtId="168" formatCode="#,##0.00\ &quot;SIT&quot;"/>
    <numFmt numFmtId="169" formatCode="#,##0.00\ [$€-1]"/>
    <numFmt numFmtId="170" formatCode="#,##0\ [$€-1]"/>
    <numFmt numFmtId="171" formatCode="_-* #,##0.00\ _S_I_T_-;\-* #,##0.00\ _S_I_T_-;_-* &quot;-&quot;\ _S_I_T_-;_-@_-"/>
    <numFmt numFmtId="172" formatCode="#,##0.00_ ;\-#,##0.00\ "/>
    <numFmt numFmtId="173" formatCode="_-* #,##0.00\ [$€-1]_-;\-* #,##0.00\ [$€-1]_-;_-* &quot;-&quot;??\ [$€-1]_-;_-@_-"/>
    <numFmt numFmtId="174" formatCode="#,##0&quot;      &quot;;\-#,##0&quot;      &quot;"/>
    <numFmt numFmtId="175" formatCode="&quot;SIT&quot;#,##0\ ;&quot;(SIT&quot;#,##0\)"/>
    <numFmt numFmtId="176" formatCode="mmmm\ d&quot;, &quot;yyyy"/>
    <numFmt numFmtId="177" formatCode="_-* #,##0.00\ _€_-;\-* #,##0.00\ _€_-;_-* &quot;-&quot;??\ _€_-;_-@_-"/>
    <numFmt numFmtId="178" formatCode="&quot; &quot;#,##0.00&quot; € &quot;;&quot;-&quot;#,##0.00&quot; € &quot;;&quot; -&quot;#&quot; € &quot;;&quot; &quot;@&quot; &quot;"/>
    <numFmt numFmtId="179" formatCode="_-* #,##0.00\ [$€-424]_-;\-* #,##0.00\ [$€-424]_-;_-* &quot;-&quot;??\ [$€-424]_-;_-@_-"/>
    <numFmt numFmtId="180" formatCode="[$€-2]\ #,##0.00"/>
  </numFmts>
  <fonts count="68">
    <font>
      <b/>
      <sz val="12"/>
      <color indexed="8"/>
      <name val="SSPalatino"/>
      <charset val="238"/>
    </font>
    <font>
      <sz val="11"/>
      <color theme="1"/>
      <name val="Calibri"/>
      <family val="2"/>
      <charset val="238"/>
      <scheme val="minor"/>
    </font>
    <font>
      <sz val="10"/>
      <color indexed="8"/>
      <name val="Arial"/>
      <family val="2"/>
      <charset val="238"/>
    </font>
    <font>
      <b/>
      <sz val="10"/>
      <name val="Arial"/>
      <family val="2"/>
      <charset val="238"/>
    </font>
    <font>
      <sz val="10"/>
      <name val="Arial"/>
      <family val="2"/>
      <charset val="238"/>
    </font>
    <font>
      <b/>
      <sz val="12"/>
      <color indexed="8"/>
      <name val="SSPalatino"/>
      <charset val="238"/>
    </font>
    <font>
      <sz val="10"/>
      <name val="Arial"/>
      <family val="2"/>
    </font>
    <font>
      <b/>
      <sz val="10"/>
      <name val="Arial"/>
      <family val="2"/>
    </font>
    <font>
      <sz val="10"/>
      <color indexed="10"/>
      <name val="Arial"/>
      <family val="2"/>
    </font>
    <font>
      <b/>
      <sz val="12"/>
      <color indexed="8"/>
      <name val="Arial"/>
      <family val="2"/>
    </font>
    <font>
      <b/>
      <sz val="10"/>
      <color indexed="10"/>
      <name val="Arial"/>
      <family val="2"/>
    </font>
    <font>
      <b/>
      <sz val="10"/>
      <color indexed="8"/>
      <name val="Arial"/>
      <family val="2"/>
    </font>
    <font>
      <b/>
      <sz val="12"/>
      <name val="Arial"/>
      <family val="2"/>
    </font>
    <font>
      <sz val="12"/>
      <name val="Arial"/>
      <family val="2"/>
    </font>
    <font>
      <b/>
      <sz val="8"/>
      <color indexed="8"/>
      <name val="Arial"/>
      <family val="2"/>
    </font>
    <font>
      <sz val="8"/>
      <name val="Arial"/>
      <family val="2"/>
    </font>
    <font>
      <sz val="8"/>
      <color indexed="8"/>
      <name val="Arial"/>
      <family val="2"/>
    </font>
    <font>
      <b/>
      <sz val="8"/>
      <name val="Arial"/>
      <family val="2"/>
    </font>
    <font>
      <b/>
      <sz val="14"/>
      <name val="Arial"/>
      <family val="2"/>
    </font>
    <font>
      <b/>
      <sz val="12"/>
      <color indexed="40"/>
      <name val="Arial"/>
      <family val="2"/>
    </font>
    <font>
      <b/>
      <sz val="8"/>
      <color indexed="40"/>
      <name val="Arial"/>
      <family val="2"/>
    </font>
    <font>
      <sz val="8"/>
      <color indexed="40"/>
      <name val="Arial"/>
      <family val="2"/>
    </font>
    <font>
      <b/>
      <sz val="12"/>
      <color indexed="11"/>
      <name val="Arial"/>
      <family val="2"/>
    </font>
    <font>
      <b/>
      <sz val="8"/>
      <color indexed="11"/>
      <name val="Arial"/>
      <family val="2"/>
    </font>
    <font>
      <sz val="8"/>
      <color indexed="11"/>
      <name val="Arial"/>
      <family val="2"/>
    </font>
    <font>
      <b/>
      <sz val="12"/>
      <color indexed="61"/>
      <name val="Arial"/>
      <family val="2"/>
    </font>
    <font>
      <b/>
      <sz val="8"/>
      <color indexed="61"/>
      <name val="Arial"/>
      <family val="2"/>
    </font>
    <font>
      <sz val="8"/>
      <color indexed="61"/>
      <name val="Arial"/>
      <family val="2"/>
    </font>
    <font>
      <b/>
      <sz val="10"/>
      <color indexed="14"/>
      <name val="Arial"/>
      <family val="2"/>
    </font>
    <font>
      <sz val="10"/>
      <color indexed="14"/>
      <name val="Arial"/>
      <family val="2"/>
    </font>
    <font>
      <b/>
      <sz val="12"/>
      <color indexed="14"/>
      <name val="Arial"/>
      <family val="2"/>
    </font>
    <font>
      <sz val="10"/>
      <name val="Arial CE"/>
      <family val="2"/>
      <charset val="238"/>
    </font>
    <font>
      <b/>
      <sz val="12"/>
      <name val="Arial"/>
      <family val="2"/>
      <charset val="238"/>
    </font>
    <font>
      <sz val="12"/>
      <name val="Arial"/>
      <family val="2"/>
      <charset val="238"/>
    </font>
    <font>
      <b/>
      <sz val="8"/>
      <name val="Arial"/>
      <family val="2"/>
      <charset val="238"/>
    </font>
    <font>
      <sz val="8"/>
      <name val="Arial"/>
      <family val="2"/>
      <charset val="238"/>
    </font>
    <font>
      <sz val="12"/>
      <color indexed="8"/>
      <name val="Arial"/>
      <family val="2"/>
      <charset val="238"/>
    </font>
    <font>
      <b/>
      <sz val="12"/>
      <name val="Arial CE"/>
      <charset val="238"/>
    </font>
    <font>
      <sz val="10"/>
      <name val="Arial CE"/>
      <charset val="238"/>
    </font>
    <font>
      <vertAlign val="superscript"/>
      <sz val="10"/>
      <name val="Arial"/>
      <family val="2"/>
      <charset val="238"/>
    </font>
    <font>
      <sz val="10"/>
      <color indexed="10"/>
      <name val="Arial CE"/>
      <family val="2"/>
      <charset val="238"/>
    </font>
    <font>
      <b/>
      <sz val="16"/>
      <name val="Arial"/>
      <family val="2"/>
      <charset val="238"/>
    </font>
    <font>
      <b/>
      <sz val="14"/>
      <name val="Arial"/>
      <family val="2"/>
      <charset val="238"/>
    </font>
    <font>
      <vertAlign val="superscript"/>
      <sz val="12"/>
      <color indexed="8"/>
      <name val="Arial"/>
      <family val="2"/>
      <charset val="238"/>
    </font>
    <font>
      <vertAlign val="superscript"/>
      <sz val="12"/>
      <name val="Arial"/>
      <family val="2"/>
      <charset val="238"/>
    </font>
    <font>
      <sz val="13.8"/>
      <color indexed="8"/>
      <name val="Arial"/>
      <family val="2"/>
      <charset val="238"/>
    </font>
    <font>
      <sz val="12"/>
      <color indexed="8"/>
      <name val="Symbol"/>
      <family val="1"/>
      <charset val="2"/>
    </font>
    <font>
      <b/>
      <sz val="10"/>
      <color indexed="8"/>
      <name val="Arial"/>
      <family val="2"/>
      <charset val="238"/>
    </font>
    <font>
      <sz val="11"/>
      <color indexed="8"/>
      <name val="Calibri"/>
      <family val="2"/>
      <charset val="238"/>
    </font>
    <font>
      <b/>
      <sz val="11"/>
      <name val="Arial"/>
      <family val="2"/>
      <charset val="238"/>
    </font>
    <font>
      <sz val="11"/>
      <color indexed="8"/>
      <name val="Arial"/>
      <family val="2"/>
      <charset val="238"/>
    </font>
    <font>
      <sz val="9"/>
      <name val="Arial"/>
      <family val="2"/>
      <charset val="238"/>
    </font>
    <font>
      <b/>
      <sz val="18"/>
      <name val="Arial"/>
      <family val="2"/>
      <charset val="238"/>
    </font>
    <font>
      <sz val="8"/>
      <color indexed="8"/>
      <name val="Arial"/>
      <family val="2"/>
      <charset val="238"/>
    </font>
    <font>
      <sz val="9"/>
      <color indexed="8"/>
      <name val="Arial"/>
      <family val="2"/>
      <charset val="238"/>
    </font>
    <font>
      <sz val="12"/>
      <name val="Courier"/>
      <family val="3"/>
    </font>
    <font>
      <b/>
      <sz val="9"/>
      <name val="Arial"/>
      <family val="2"/>
      <charset val="238"/>
    </font>
    <font>
      <sz val="11"/>
      <color theme="1"/>
      <name val="Calibri"/>
      <family val="2"/>
      <charset val="238"/>
      <scheme val="minor"/>
    </font>
    <font>
      <sz val="10"/>
      <color rgb="FFFF0000"/>
      <name val="Arial"/>
      <family val="2"/>
    </font>
    <font>
      <sz val="10"/>
      <color rgb="FF00B050"/>
      <name val="Arial"/>
      <family val="2"/>
    </font>
    <font>
      <b/>
      <sz val="12"/>
      <color rgb="FF00B050"/>
      <name val="Arial"/>
      <family val="2"/>
    </font>
    <font>
      <vertAlign val="superscript"/>
      <sz val="10"/>
      <name val="Segoe UI"/>
      <family val="2"/>
      <charset val="238"/>
    </font>
    <font>
      <sz val="10"/>
      <name val="Segoe UI"/>
      <family val="2"/>
      <charset val="238"/>
    </font>
    <font>
      <b/>
      <u/>
      <sz val="12"/>
      <color indexed="8"/>
      <name val="Arial"/>
      <family val="2"/>
      <charset val="238"/>
    </font>
    <font>
      <sz val="11"/>
      <color theme="1"/>
      <name val="Arial"/>
      <family val="2"/>
      <charset val="238"/>
    </font>
    <font>
      <b/>
      <sz val="10"/>
      <color theme="1"/>
      <name val="Arial"/>
      <family val="2"/>
      <charset val="238"/>
    </font>
    <font>
      <b/>
      <sz val="9"/>
      <color indexed="8"/>
      <name val="SSPalatino"/>
      <charset val="238"/>
    </font>
    <font>
      <b/>
      <i/>
      <sz val="14"/>
      <name val="Arial"/>
      <family val="2"/>
      <charset val="238"/>
    </font>
  </fonts>
  <fills count="3">
    <fill>
      <patternFill patternType="none"/>
    </fill>
    <fill>
      <patternFill patternType="gray125"/>
    </fill>
    <fill>
      <patternFill patternType="solid">
        <fgColor theme="0"/>
        <bgColor indexed="64"/>
      </patternFill>
    </fill>
  </fills>
  <borders count="24">
    <border>
      <left/>
      <right/>
      <top/>
      <bottom/>
      <diagonal/>
    </border>
    <border>
      <left/>
      <right/>
      <top style="double">
        <color indexed="8"/>
      </top>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top/>
      <bottom style="medium">
        <color indexed="64"/>
      </bottom>
      <diagonal/>
    </border>
  </borders>
  <cellStyleXfs count="49">
    <xf numFmtId="0" fontId="0" fillId="0" borderId="0" applyFill="0" applyBorder="0" applyProtection="0"/>
    <xf numFmtId="165" fontId="4" fillId="0" borderId="0" applyFont="0" applyFill="0" applyBorder="0" applyAlignment="0" applyProtection="0"/>
    <xf numFmtId="174" fontId="4" fillId="0" borderId="0" applyFill="0" applyBorder="0" applyAlignment="0" applyProtection="0"/>
    <xf numFmtId="164" fontId="4" fillId="0" borderId="0" applyFont="0" applyFill="0" applyBorder="0" applyAlignment="0" applyProtection="0"/>
    <xf numFmtId="175" fontId="4" fillId="0" borderId="0" applyFill="0" applyBorder="0" applyAlignment="0" applyProtection="0"/>
    <xf numFmtId="176" fontId="4" fillId="0" borderId="0" applyFill="0" applyBorder="0" applyAlignment="0" applyProtection="0"/>
    <xf numFmtId="0" fontId="48" fillId="0" borderId="0"/>
    <xf numFmtId="2" fontId="4" fillId="0" borderId="0" applyFill="0" applyBorder="0" applyAlignment="0" applyProtection="0"/>
    <xf numFmtId="0" fontId="52" fillId="0" borderId="0" applyNumberFormat="0" applyFill="0" applyBorder="0" applyAlignment="0" applyProtection="0"/>
    <xf numFmtId="0" fontId="32" fillId="0" borderId="0" applyNumberFormat="0" applyFill="0" applyBorder="0" applyAlignment="0" applyProtection="0"/>
    <xf numFmtId="2" fontId="4" fillId="0" borderId="0" applyProtection="0">
      <alignment horizontal="justify" vertical="distributed"/>
      <protection locked="0"/>
    </xf>
    <xf numFmtId="0" fontId="5" fillId="0" borderId="0"/>
    <xf numFmtId="0" fontId="5" fillId="0" borderId="0" applyFill="0" applyBorder="0" applyProtection="0"/>
    <xf numFmtId="0" fontId="55" fillId="0" borderId="0"/>
    <xf numFmtId="0" fontId="4" fillId="0" borderId="0" applyFill="0" applyBorder="0" applyAlignment="0" applyProtection="0"/>
    <xf numFmtId="0" fontId="4" fillId="0" borderId="0" applyFill="0" applyBorder="0" applyAlignment="0" applyProtection="0"/>
    <xf numFmtId="0" fontId="4" fillId="0" borderId="0" applyFill="0" applyBorder="0" applyAlignment="0" applyProtection="0"/>
    <xf numFmtId="0" fontId="4" fillId="0" borderId="0" applyFill="0" applyBorder="0" applyAlignment="0" applyProtection="0"/>
    <xf numFmtId="0" fontId="57" fillId="0" borderId="0"/>
    <xf numFmtId="0" fontId="4" fillId="0" borderId="0" applyFill="0" applyBorder="0" applyAlignment="0" applyProtection="0"/>
    <xf numFmtId="0" fontId="4" fillId="0" borderId="0" applyFill="0" applyBorder="0" applyAlignment="0" applyProtection="0"/>
    <xf numFmtId="0" fontId="4" fillId="0" borderId="0" applyFill="0" applyBorder="0" applyAlignment="0" applyProtection="0"/>
    <xf numFmtId="0" fontId="38" fillId="0" borderId="0"/>
    <xf numFmtId="0" fontId="4" fillId="0" borderId="0" applyFill="0" applyBorder="0" applyAlignment="0" applyProtection="0"/>
    <xf numFmtId="0" fontId="4" fillId="0" borderId="0" applyFill="0" applyBorder="0" applyAlignment="0" applyProtection="0"/>
    <xf numFmtId="0" fontId="4" fillId="0" borderId="0" applyFill="0" applyBorder="0" applyAlignment="0" applyProtection="0"/>
    <xf numFmtId="0" fontId="4" fillId="0" borderId="0" applyFill="0" applyBorder="0" applyAlignment="0" applyProtection="0"/>
    <xf numFmtId="0" fontId="4" fillId="0" borderId="0" applyFill="0" applyBorder="0" applyAlignment="0" applyProtection="0"/>
    <xf numFmtId="0" fontId="4" fillId="0" borderId="0" applyFill="0" applyBorder="0" applyAlignment="0" applyProtection="0"/>
    <xf numFmtId="0" fontId="4" fillId="0" borderId="0" applyFill="0" applyBorder="0" applyAlignment="0" applyProtection="0"/>
    <xf numFmtId="0" fontId="55" fillId="0" borderId="0"/>
    <xf numFmtId="0" fontId="4" fillId="0" borderId="0" applyFill="0" applyBorder="0" applyAlignment="0" applyProtection="0"/>
    <xf numFmtId="0" fontId="4" fillId="0" borderId="0" applyFill="0" applyBorder="0" applyAlignment="0" applyProtection="0"/>
    <xf numFmtId="0" fontId="4" fillId="0" borderId="0" applyFill="0" applyBorder="0" applyAlignment="0" applyProtection="0"/>
    <xf numFmtId="0" fontId="4" fillId="0" borderId="0" applyFill="0" applyBorder="0" applyAlignment="0" applyProtection="0"/>
    <xf numFmtId="0" fontId="4" fillId="0" borderId="0" applyFill="0" applyBorder="0" applyAlignment="0" applyProtection="0"/>
    <xf numFmtId="0" fontId="4" fillId="0" borderId="0"/>
    <xf numFmtId="0" fontId="4" fillId="0" borderId="0"/>
    <xf numFmtId="0" fontId="4" fillId="0" borderId="0"/>
    <xf numFmtId="9" fontId="5" fillId="0" borderId="0" applyFont="0" applyFill="0" applyBorder="0" applyAlignment="0" applyProtection="0"/>
    <xf numFmtId="0" fontId="4" fillId="0" borderId="1" applyNumberFormat="0" applyFill="0" applyAlignment="0" applyProtection="0"/>
    <xf numFmtId="166" fontId="38" fillId="0" borderId="0" applyFont="0" applyFill="0" applyBorder="0" applyAlignment="0" applyProtection="0"/>
    <xf numFmtId="167" fontId="4" fillId="0" borderId="0" applyFont="0" applyFill="0" applyBorder="0" applyAlignment="0" applyProtection="0"/>
    <xf numFmtId="167" fontId="38" fillId="0" borderId="0" applyFont="0" applyFill="0" applyBorder="0" applyAlignment="0" applyProtection="0"/>
    <xf numFmtId="167" fontId="5" fillId="0" borderId="0" applyFont="0" applyFill="0" applyBorder="0" applyAlignment="0" applyProtection="0"/>
    <xf numFmtId="177" fontId="1" fillId="0" borderId="0" applyFont="0" applyFill="0" applyBorder="0" applyAlignment="0" applyProtection="0"/>
    <xf numFmtId="178" fontId="64" fillId="0" borderId="0"/>
    <xf numFmtId="44" fontId="5" fillId="0" borderId="0" applyFont="0" applyFill="0" applyBorder="0" applyAlignment="0" applyProtection="0"/>
    <xf numFmtId="0" fontId="4" fillId="0" borderId="0"/>
  </cellStyleXfs>
  <cellXfs count="475">
    <xf numFmtId="0" fontId="0" fillId="0" borderId="0" xfId="0"/>
    <xf numFmtId="1" fontId="7" fillId="0" borderId="0" xfId="0" applyNumberFormat="1" applyFont="1" applyAlignment="1">
      <alignment horizontal="left"/>
    </xf>
    <xf numFmtId="4" fontId="6" fillId="0" borderId="0" xfId="0" applyNumberFormat="1" applyFont="1"/>
    <xf numFmtId="4" fontId="6" fillId="0" borderId="0" xfId="0" applyNumberFormat="1" applyFont="1" applyAlignment="1">
      <alignment horizontal="left" vertical="top" wrapText="1"/>
    </xf>
    <xf numFmtId="4" fontId="8" fillId="0" borderId="0" xfId="0" applyNumberFormat="1" applyFont="1"/>
    <xf numFmtId="0" fontId="9" fillId="0" borderId="0" xfId="0" applyFont="1"/>
    <xf numFmtId="49" fontId="7" fillId="0" borderId="0" xfId="0" applyNumberFormat="1" applyFont="1" applyAlignment="1">
      <alignment horizontal="left" vertical="top" wrapText="1"/>
    </xf>
    <xf numFmtId="0" fontId="9" fillId="0" borderId="0" xfId="11" applyFont="1"/>
    <xf numFmtId="49" fontId="11" fillId="0" borderId="0" xfId="11" applyNumberFormat="1" applyFont="1"/>
    <xf numFmtId="0" fontId="12" fillId="0" borderId="0" xfId="11" applyFont="1"/>
    <xf numFmtId="0" fontId="6" fillId="0" borderId="0" xfId="0" applyFont="1" applyAlignment="1">
      <alignment horizontal="left" vertical="top" wrapText="1"/>
    </xf>
    <xf numFmtId="49" fontId="9" fillId="0" borderId="0" xfId="11" applyNumberFormat="1" applyFont="1"/>
    <xf numFmtId="49" fontId="11" fillId="0" borderId="0" xfId="11" applyNumberFormat="1" applyFont="1" applyAlignment="1">
      <alignment vertical="top"/>
    </xf>
    <xf numFmtId="0" fontId="6" fillId="0" borderId="0" xfId="11" applyFont="1" applyAlignment="1">
      <alignment wrapText="1"/>
    </xf>
    <xf numFmtId="0" fontId="7" fillId="0" borderId="0" xfId="11" applyFont="1"/>
    <xf numFmtId="0" fontId="11" fillId="0" borderId="0" xfId="0" applyFont="1"/>
    <xf numFmtId="0" fontId="6" fillId="0" borderId="0" xfId="0" applyFont="1" applyAlignment="1">
      <alignment vertical="top" wrapText="1"/>
    </xf>
    <xf numFmtId="0" fontId="14" fillId="0" borderId="0" xfId="11" applyFont="1"/>
    <xf numFmtId="49" fontId="14" fillId="0" borderId="0" xfId="11" applyNumberFormat="1" applyFont="1" applyAlignment="1">
      <alignment vertical="top"/>
    </xf>
    <xf numFmtId="0" fontId="16" fillId="0" borderId="0" xfId="11" applyFont="1"/>
    <xf numFmtId="49" fontId="14" fillId="0" borderId="0" xfId="11" applyNumberFormat="1" applyFont="1"/>
    <xf numFmtId="0" fontId="19" fillId="0" borderId="0" xfId="0" applyFont="1"/>
    <xf numFmtId="0" fontId="19" fillId="0" borderId="0" xfId="11" applyFont="1"/>
    <xf numFmtId="0" fontId="20" fillId="0" borderId="0" xfId="11" applyFont="1"/>
    <xf numFmtId="0" fontId="21" fillId="0" borderId="0" xfId="11" applyFont="1"/>
    <xf numFmtId="0" fontId="22" fillId="0" borderId="0" xfId="0" applyFont="1"/>
    <xf numFmtId="0" fontId="22" fillId="0" borderId="0" xfId="11" applyFont="1"/>
    <xf numFmtId="0" fontId="23" fillId="0" borderId="0" xfId="11" applyFont="1"/>
    <xf numFmtId="0" fontId="24" fillId="0" borderId="0" xfId="11" applyFont="1"/>
    <xf numFmtId="0" fontId="25" fillId="0" borderId="0" xfId="0" applyFont="1"/>
    <xf numFmtId="0" fontId="25" fillId="0" borderId="0" xfId="11" applyFont="1"/>
    <xf numFmtId="0" fontId="26" fillId="0" borderId="0" xfId="11" applyFont="1"/>
    <xf numFmtId="0" fontId="27" fillId="0" borderId="0" xfId="11" applyFont="1"/>
    <xf numFmtId="4" fontId="13" fillId="0" borderId="0" xfId="0" applyNumberFormat="1" applyFont="1"/>
    <xf numFmtId="49" fontId="7" fillId="0" borderId="0" xfId="36" applyNumberFormat="1" applyFont="1" applyAlignment="1">
      <alignment horizontal="right"/>
    </xf>
    <xf numFmtId="1" fontId="6" fillId="0" borderId="0" xfId="36" applyNumberFormat="1" applyFont="1" applyAlignment="1">
      <alignment horizontal="right"/>
    </xf>
    <xf numFmtId="0" fontId="22" fillId="0" borderId="0" xfId="36" applyFont="1"/>
    <xf numFmtId="0" fontId="19" fillId="0" borderId="0" xfId="36" applyFont="1"/>
    <xf numFmtId="0" fontId="9" fillId="0" borderId="0" xfId="36" applyFont="1"/>
    <xf numFmtId="0" fontId="25" fillId="0" borderId="0" xfId="36" applyFont="1"/>
    <xf numFmtId="1" fontId="7" fillId="0" borderId="0" xfId="36" applyNumberFormat="1" applyFont="1" applyAlignment="1">
      <alignment horizontal="left"/>
    </xf>
    <xf numFmtId="4" fontId="6" fillId="0" borderId="0" xfId="36" applyNumberFormat="1" applyFont="1"/>
    <xf numFmtId="4" fontId="7" fillId="0" borderId="0" xfId="36" applyNumberFormat="1" applyFont="1" applyAlignment="1">
      <alignment horizontal="left"/>
    </xf>
    <xf numFmtId="49" fontId="7" fillId="0" borderId="0" xfId="36" applyNumberFormat="1" applyFont="1" applyAlignment="1">
      <alignment horizontal="left" vertical="top" wrapText="1"/>
    </xf>
    <xf numFmtId="4" fontId="18" fillId="0" borderId="0" xfId="36" applyNumberFormat="1" applyFont="1"/>
    <xf numFmtId="4" fontId="7" fillId="0" borderId="0" xfId="36" applyNumberFormat="1" applyFont="1"/>
    <xf numFmtId="4" fontId="12" fillId="0" borderId="0" xfId="11" applyNumberFormat="1" applyFont="1"/>
    <xf numFmtId="49" fontId="12" fillId="0" borderId="0" xfId="36" applyNumberFormat="1" applyFont="1" applyAlignment="1">
      <alignment horizontal="left" vertical="top" wrapText="1"/>
    </xf>
    <xf numFmtId="4" fontId="12" fillId="0" borderId="0" xfId="36" applyNumberFormat="1" applyFont="1" applyAlignment="1">
      <alignment horizontal="left" vertical="top" wrapText="1"/>
    </xf>
    <xf numFmtId="4" fontId="12" fillId="0" borderId="0" xfId="36" applyNumberFormat="1" applyFont="1"/>
    <xf numFmtId="4" fontId="12" fillId="0" borderId="2" xfId="36" applyNumberFormat="1" applyFont="1" applyBorder="1" applyAlignment="1">
      <alignment horizontal="left" vertical="top" wrapText="1"/>
    </xf>
    <xf numFmtId="4" fontId="12" fillId="0" borderId="2" xfId="36" applyNumberFormat="1" applyFont="1" applyBorder="1"/>
    <xf numFmtId="0" fontId="6" fillId="0" borderId="0" xfId="36" applyFont="1" applyAlignment="1">
      <alignment horizontal="left" vertical="top" wrapText="1"/>
    </xf>
    <xf numFmtId="4" fontId="6" fillId="0" borderId="0" xfId="36" applyNumberFormat="1" applyFont="1" applyAlignment="1">
      <alignment horizontal="left" vertical="top" wrapText="1"/>
    </xf>
    <xf numFmtId="4" fontId="8" fillId="0" borderId="0" xfId="36" applyNumberFormat="1" applyFont="1"/>
    <xf numFmtId="4" fontId="13" fillId="0" borderId="0" xfId="36" applyNumberFormat="1" applyFont="1" applyAlignment="1">
      <alignment horizontal="left" vertical="top" wrapText="1"/>
    </xf>
    <xf numFmtId="4" fontId="13" fillId="0" borderId="0" xfId="36" applyNumberFormat="1" applyFont="1"/>
    <xf numFmtId="4" fontId="17" fillId="0" borderId="0" xfId="11" applyNumberFormat="1" applyFont="1"/>
    <xf numFmtId="4" fontId="15" fillId="0" borderId="0" xfId="11" applyNumberFormat="1" applyFont="1"/>
    <xf numFmtId="4" fontId="15" fillId="0" borderId="0" xfId="36" applyNumberFormat="1" applyFont="1"/>
    <xf numFmtId="0" fontId="12" fillId="0" borderId="0" xfId="36" applyFont="1" applyAlignment="1">
      <alignment horizontal="left" vertical="top" wrapText="1"/>
    </xf>
    <xf numFmtId="0" fontId="11" fillId="0" borderId="0" xfId="36" applyFont="1"/>
    <xf numFmtId="0" fontId="23" fillId="0" borderId="0" xfId="36" applyFont="1"/>
    <xf numFmtId="0" fontId="20" fillId="0" borderId="0" xfId="36" applyFont="1"/>
    <xf numFmtId="0" fontId="14" fillId="0" borderId="0" xfId="36" applyFont="1"/>
    <xf numFmtId="0" fontId="26" fillId="0" borderId="0" xfId="36" applyFont="1"/>
    <xf numFmtId="4" fontId="29" fillId="0" borderId="0" xfId="36" applyNumberFormat="1" applyFont="1"/>
    <xf numFmtId="0" fontId="28" fillId="0" borderId="0" xfId="36" applyFont="1"/>
    <xf numFmtId="0" fontId="30" fillId="0" borderId="0" xfId="36" applyFont="1"/>
    <xf numFmtId="49" fontId="28" fillId="0" borderId="0" xfId="36" applyNumberFormat="1" applyFont="1" applyAlignment="1">
      <alignment horizontal="left" vertical="top" wrapText="1"/>
    </xf>
    <xf numFmtId="0" fontId="29" fillId="0" borderId="0" xfId="36" applyFont="1" applyAlignment="1">
      <alignment horizontal="left" vertical="top" wrapText="1"/>
    </xf>
    <xf numFmtId="49" fontId="17" fillId="0" borderId="0" xfId="36" applyNumberFormat="1" applyFont="1" applyAlignment="1">
      <alignment horizontal="left" vertical="top" wrapText="1"/>
    </xf>
    <xf numFmtId="0" fontId="6" fillId="0" borderId="0" xfId="36" applyFont="1" applyAlignment="1">
      <alignment vertical="top" wrapText="1"/>
    </xf>
    <xf numFmtId="4" fontId="31" fillId="0" borderId="0" xfId="36" applyNumberFormat="1" applyFont="1" applyAlignment="1">
      <alignment vertical="top" wrapText="1"/>
    </xf>
    <xf numFmtId="2" fontId="8" fillId="0" borderId="0" xfId="0" applyNumberFormat="1" applyFont="1"/>
    <xf numFmtId="4" fontId="6" fillId="0" borderId="0" xfId="0" applyNumberFormat="1" applyFont="1" applyFill="1"/>
    <xf numFmtId="4" fontId="8" fillId="0" borderId="0" xfId="0" applyNumberFormat="1" applyFont="1" applyFill="1"/>
    <xf numFmtId="0" fontId="36" fillId="0" borderId="0" xfId="0" applyFont="1"/>
    <xf numFmtId="0" fontId="12" fillId="0" borderId="0" xfId="0" applyFont="1"/>
    <xf numFmtId="0" fontId="12" fillId="0" borderId="0" xfId="36" applyFont="1"/>
    <xf numFmtId="0" fontId="37" fillId="0" borderId="0" xfId="0" applyFont="1"/>
    <xf numFmtId="4" fontId="38" fillId="0" borderId="0" xfId="36" applyNumberFormat="1" applyFont="1"/>
    <xf numFmtId="169" fontId="6" fillId="0" borderId="0" xfId="36" applyNumberFormat="1" applyFont="1"/>
    <xf numFmtId="169" fontId="7" fillId="0" borderId="0" xfId="36" applyNumberFormat="1" applyFont="1"/>
    <xf numFmtId="169" fontId="12" fillId="0" borderId="0" xfId="36" applyNumberFormat="1" applyFont="1"/>
    <xf numFmtId="169" fontId="12" fillId="0" borderId="2" xfId="36" applyNumberFormat="1" applyFont="1" applyBorder="1"/>
    <xf numFmtId="169" fontId="13" fillId="0" borderId="0" xfId="36" applyNumberFormat="1" applyFont="1"/>
    <xf numFmtId="169" fontId="15" fillId="0" borderId="0" xfId="36" applyNumberFormat="1" applyFont="1"/>
    <xf numFmtId="169" fontId="29" fillId="0" borderId="0" xfId="36" applyNumberFormat="1" applyFont="1"/>
    <xf numFmtId="169" fontId="6" fillId="0" borderId="0" xfId="0" applyNumberFormat="1" applyFont="1"/>
    <xf numFmtId="169" fontId="13" fillId="0" borderId="0" xfId="0" applyNumberFormat="1" applyFont="1"/>
    <xf numFmtId="169" fontId="12" fillId="0" borderId="0" xfId="11" applyNumberFormat="1" applyFont="1"/>
    <xf numFmtId="169" fontId="17" fillId="0" borderId="0" xfId="11" applyNumberFormat="1" applyFont="1"/>
    <xf numFmtId="169" fontId="15" fillId="0" borderId="0" xfId="11" applyNumberFormat="1" applyFont="1"/>
    <xf numFmtId="169" fontId="8" fillId="0" borderId="0" xfId="0" applyNumberFormat="1" applyFont="1"/>
    <xf numFmtId="169" fontId="31" fillId="0" borderId="0" xfId="36" applyNumberFormat="1" applyFont="1"/>
    <xf numFmtId="169" fontId="12" fillId="0" borderId="0" xfId="0" applyNumberFormat="1" applyFont="1"/>
    <xf numFmtId="169" fontId="4" fillId="0" borderId="0" xfId="36" applyNumberFormat="1"/>
    <xf numFmtId="169" fontId="3" fillId="0" borderId="0" xfId="36" applyNumberFormat="1" applyFont="1"/>
    <xf numFmtId="169" fontId="32" fillId="0" borderId="0" xfId="11" applyNumberFormat="1" applyFont="1"/>
    <xf numFmtId="169" fontId="32" fillId="0" borderId="0" xfId="36" applyNumberFormat="1" applyFont="1"/>
    <xf numFmtId="169" fontId="33" fillId="0" borderId="0" xfId="36" applyNumberFormat="1" applyFont="1"/>
    <xf numFmtId="169" fontId="34" fillId="0" borderId="0" xfId="11" applyNumberFormat="1" applyFont="1"/>
    <xf numFmtId="169" fontId="35" fillId="0" borderId="0" xfId="11" applyNumberFormat="1" applyFont="1"/>
    <xf numFmtId="169" fontId="35" fillId="0" borderId="0" xfId="36" applyNumberFormat="1" applyFont="1"/>
    <xf numFmtId="169" fontId="4" fillId="0" borderId="0" xfId="0" applyNumberFormat="1" applyFont="1"/>
    <xf numFmtId="170" fontId="13" fillId="0" borderId="0" xfId="0" applyNumberFormat="1" applyFont="1"/>
    <xf numFmtId="170" fontId="6" fillId="0" borderId="0" xfId="36" applyNumberFormat="1" applyFont="1"/>
    <xf numFmtId="170" fontId="7" fillId="0" borderId="0" xfId="36" applyNumberFormat="1" applyFont="1"/>
    <xf numFmtId="170" fontId="12" fillId="0" borderId="0" xfId="11" applyNumberFormat="1" applyFont="1"/>
    <xf numFmtId="170" fontId="12" fillId="0" borderId="0" xfId="36" applyNumberFormat="1" applyFont="1"/>
    <xf numFmtId="170" fontId="12" fillId="0" borderId="2" xfId="36" applyNumberFormat="1" applyFont="1" applyBorder="1"/>
    <xf numFmtId="170" fontId="13" fillId="0" borderId="0" xfId="36" applyNumberFormat="1" applyFont="1"/>
    <xf numFmtId="170" fontId="17" fillId="0" borderId="0" xfId="11" applyNumberFormat="1" applyFont="1"/>
    <xf numFmtId="170" fontId="15" fillId="0" borderId="0" xfId="36" applyNumberFormat="1" applyFont="1"/>
    <xf numFmtId="170" fontId="6" fillId="0" borderId="0" xfId="0" applyNumberFormat="1" applyFont="1"/>
    <xf numFmtId="169" fontId="9" fillId="0" borderId="0" xfId="36" applyNumberFormat="1" applyFont="1"/>
    <xf numFmtId="2" fontId="9" fillId="0" borderId="0" xfId="36" applyNumberFormat="1" applyFont="1"/>
    <xf numFmtId="169" fontId="22" fillId="0" borderId="0" xfId="11" applyNumberFormat="1" applyFont="1"/>
    <xf numFmtId="169" fontId="9" fillId="0" borderId="0" xfId="11" applyNumberFormat="1" applyFont="1"/>
    <xf numFmtId="4" fontId="58" fillId="0" borderId="0" xfId="36" applyNumberFormat="1" applyFont="1"/>
    <xf numFmtId="0" fontId="59" fillId="0" borderId="0" xfId="36" applyFont="1" applyAlignment="1">
      <alignment vertical="top" wrapText="1"/>
    </xf>
    <xf numFmtId="0" fontId="60" fillId="0" borderId="0" xfId="0" applyFont="1"/>
    <xf numFmtId="0" fontId="22" fillId="0" borderId="0" xfId="36" applyFont="1" applyAlignment="1">
      <alignment horizontal="right"/>
    </xf>
    <xf numFmtId="3" fontId="6" fillId="0" borderId="0" xfId="36" applyNumberFormat="1" applyFont="1"/>
    <xf numFmtId="0" fontId="7" fillId="0" borderId="0" xfId="36" applyFont="1"/>
    <xf numFmtId="4" fontId="31" fillId="0" borderId="0" xfId="0" applyNumberFormat="1" applyFont="1" applyFill="1" applyAlignment="1">
      <alignment horizontal="justify" vertical="top" wrapText="1"/>
    </xf>
    <xf numFmtId="4" fontId="4" fillId="0" borderId="0" xfId="38" applyNumberFormat="1" applyAlignment="1">
      <alignment horizontal="justify" vertical="top" wrapText="1"/>
    </xf>
    <xf numFmtId="49" fontId="7" fillId="0" borderId="0" xfId="37" applyNumberFormat="1" applyFont="1" applyAlignment="1">
      <alignment horizontal="right"/>
    </xf>
    <xf numFmtId="1" fontId="6" fillId="0" borderId="0" xfId="37" applyNumberFormat="1" applyFont="1" applyAlignment="1">
      <alignment horizontal="right"/>
    </xf>
    <xf numFmtId="0" fontId="12" fillId="0" borderId="0" xfId="37" applyFont="1"/>
    <xf numFmtId="1" fontId="7" fillId="0" borderId="0" xfId="37" applyNumberFormat="1" applyFont="1" applyAlignment="1">
      <alignment horizontal="left"/>
    </xf>
    <xf numFmtId="4" fontId="6" fillId="0" borderId="0" xfId="37" applyNumberFormat="1" applyFont="1"/>
    <xf numFmtId="170" fontId="6" fillId="0" borderId="0" xfId="37" applyNumberFormat="1" applyFont="1"/>
    <xf numFmtId="169" fontId="4" fillId="0" borderId="0" xfId="37" applyNumberFormat="1"/>
    <xf numFmtId="169" fontId="6" fillId="0" borderId="0" xfId="37" applyNumberFormat="1" applyFont="1"/>
    <xf numFmtId="0" fontId="9" fillId="0" borderId="0" xfId="37" applyFont="1"/>
    <xf numFmtId="0" fontId="22" fillId="0" borderId="0" xfId="37" applyFont="1"/>
    <xf numFmtId="0" fontId="19" fillId="0" borderId="0" xfId="37" applyFont="1"/>
    <xf numFmtId="0" fontId="25" fillId="0" borderId="0" xfId="37" applyFont="1"/>
    <xf numFmtId="4" fontId="7" fillId="0" borderId="0" xfId="37" applyNumberFormat="1" applyFont="1" applyAlignment="1">
      <alignment horizontal="left"/>
    </xf>
    <xf numFmtId="49" fontId="7" fillId="0" borderId="0" xfId="37" applyNumberFormat="1" applyFont="1" applyAlignment="1">
      <alignment horizontal="left" vertical="top" wrapText="1"/>
    </xf>
    <xf numFmtId="4" fontId="18" fillId="0" borderId="0" xfId="37" applyNumberFormat="1" applyFont="1"/>
    <xf numFmtId="4" fontId="7" fillId="0" borderId="0" xfId="37" applyNumberFormat="1" applyFont="1"/>
    <xf numFmtId="170" fontId="7" fillId="0" borderId="0" xfId="37" applyNumberFormat="1" applyFont="1"/>
    <xf numFmtId="169" fontId="3" fillId="0" borderId="0" xfId="37" applyNumberFormat="1" applyFont="1"/>
    <xf numFmtId="169" fontId="7" fillId="0" borderId="0" xfId="37" applyNumberFormat="1" applyFont="1"/>
    <xf numFmtId="49" fontId="12" fillId="0" borderId="0" xfId="37" applyNumberFormat="1" applyFont="1" applyAlignment="1">
      <alignment horizontal="left" vertical="top" wrapText="1"/>
    </xf>
    <xf numFmtId="4" fontId="12" fillId="0" borderId="0" xfId="37" applyNumberFormat="1" applyFont="1" applyAlignment="1">
      <alignment horizontal="left" vertical="top" wrapText="1"/>
    </xf>
    <xf numFmtId="4" fontId="12" fillId="0" borderId="0" xfId="37" applyNumberFormat="1" applyFont="1"/>
    <xf numFmtId="170" fontId="12" fillId="0" borderId="0" xfId="37" applyNumberFormat="1" applyFont="1"/>
    <xf numFmtId="169" fontId="32" fillId="0" borderId="0" xfId="37" applyNumberFormat="1" applyFont="1"/>
    <xf numFmtId="169" fontId="12" fillId="0" borderId="0" xfId="37" applyNumberFormat="1" applyFont="1"/>
    <xf numFmtId="169" fontId="9" fillId="0" borderId="0" xfId="37" applyNumberFormat="1" applyFont="1"/>
    <xf numFmtId="168" fontId="9" fillId="0" borderId="0" xfId="37" applyNumberFormat="1" applyFont="1"/>
    <xf numFmtId="4" fontId="12" fillId="0" borderId="2" xfId="37" applyNumberFormat="1" applyFont="1" applyBorder="1" applyAlignment="1">
      <alignment horizontal="left" vertical="top" wrapText="1"/>
    </xf>
    <xf numFmtId="4" fontId="12" fillId="0" borderId="2" xfId="37" applyNumberFormat="1" applyFont="1" applyBorder="1"/>
    <xf numFmtId="170" fontId="12" fillId="0" borderId="2" xfId="37" applyNumberFormat="1" applyFont="1" applyBorder="1"/>
    <xf numFmtId="2" fontId="9" fillId="0" borderId="0" xfId="37" applyNumberFormat="1" applyFont="1"/>
    <xf numFmtId="169" fontId="12" fillId="0" borderId="2" xfId="37" applyNumberFormat="1" applyFont="1" applyBorder="1"/>
    <xf numFmtId="4" fontId="6" fillId="0" borderId="0" xfId="0" applyNumberFormat="1" applyFont="1" applyFill="1" applyAlignment="1">
      <alignment horizontal="left" vertical="top" wrapText="1"/>
    </xf>
    <xf numFmtId="4" fontId="6" fillId="0" borderId="0" xfId="37" applyNumberFormat="1" applyFont="1" applyAlignment="1">
      <alignment horizontal="left" vertical="top" wrapText="1"/>
    </xf>
    <xf numFmtId="4" fontId="13" fillId="0" borderId="0" xfId="37" applyNumberFormat="1" applyFont="1" applyAlignment="1">
      <alignment horizontal="left" vertical="top" wrapText="1"/>
    </xf>
    <xf numFmtId="4" fontId="13" fillId="0" borderId="0" xfId="37" applyNumberFormat="1" applyFont="1"/>
    <xf numFmtId="170" fontId="13" fillId="0" borderId="0" xfId="37" applyNumberFormat="1" applyFont="1"/>
    <xf numFmtId="169" fontId="33" fillId="0" borderId="0" xfId="37" applyNumberFormat="1" applyFont="1"/>
    <xf numFmtId="169" fontId="13" fillId="0" borderId="0" xfId="37" applyNumberFormat="1" applyFont="1"/>
    <xf numFmtId="0" fontId="6" fillId="0" borderId="0" xfId="37" applyFont="1" applyAlignment="1">
      <alignment horizontal="left" vertical="top" wrapText="1"/>
    </xf>
    <xf numFmtId="4" fontId="38" fillId="0" borderId="0" xfId="37" applyNumberFormat="1" applyFont="1"/>
    <xf numFmtId="4" fontId="15" fillId="0" borderId="0" xfId="37" applyNumberFormat="1" applyFont="1"/>
    <xf numFmtId="169" fontId="35" fillId="0" borderId="0" xfId="37" applyNumberFormat="1" applyFont="1"/>
    <xf numFmtId="169" fontId="15" fillId="0" borderId="0" xfId="37" applyNumberFormat="1" applyFont="1"/>
    <xf numFmtId="170" fontId="15" fillId="0" borderId="0" xfId="37" applyNumberFormat="1" applyFont="1"/>
    <xf numFmtId="4" fontId="8" fillId="0" borderId="0" xfId="37" applyNumberFormat="1" applyFont="1"/>
    <xf numFmtId="0" fontId="12" fillId="0" borderId="0" xfId="37" applyFont="1" applyAlignment="1">
      <alignment horizontal="left" vertical="top" wrapText="1"/>
    </xf>
    <xf numFmtId="0" fontId="11" fillId="0" borderId="0" xfId="37" applyFont="1"/>
    <xf numFmtId="0" fontId="23" fillId="0" borderId="0" xfId="37" applyFont="1"/>
    <xf numFmtId="0" fontId="20" fillId="0" borderId="0" xfId="37" applyFont="1"/>
    <xf numFmtId="0" fontId="14" fillId="0" borderId="0" xfId="37" applyFont="1"/>
    <xf numFmtId="0" fontId="26" fillId="0" borderId="0" xfId="37" applyFont="1"/>
    <xf numFmtId="4" fontId="29" fillId="0" borderId="0" xfId="37" applyNumberFormat="1" applyFont="1"/>
    <xf numFmtId="0" fontId="28" fillId="0" borderId="0" xfId="37" applyFont="1"/>
    <xf numFmtId="169" fontId="29" fillId="0" borderId="0" xfId="37" applyNumberFormat="1" applyFont="1"/>
    <xf numFmtId="0" fontId="30" fillId="0" borderId="0" xfId="37" applyFont="1"/>
    <xf numFmtId="49" fontId="28" fillId="0" borderId="0" xfId="37" applyNumberFormat="1" applyFont="1" applyAlignment="1">
      <alignment horizontal="left" vertical="top" wrapText="1"/>
    </xf>
    <xf numFmtId="0" fontId="29" fillId="0" borderId="0" xfId="37" applyFont="1" applyAlignment="1">
      <alignment horizontal="left" vertical="top" wrapText="1"/>
    </xf>
    <xf numFmtId="49" fontId="17" fillId="0" borderId="0" xfId="37" applyNumberFormat="1" applyFont="1" applyAlignment="1">
      <alignment horizontal="left" vertical="top" wrapText="1"/>
    </xf>
    <xf numFmtId="0" fontId="6" fillId="0" borderId="0" xfId="37" applyFont="1" applyAlignment="1">
      <alignment vertical="top" wrapText="1"/>
    </xf>
    <xf numFmtId="169" fontId="8" fillId="0" borderId="0" xfId="37" applyNumberFormat="1" applyFont="1"/>
    <xf numFmtId="4" fontId="31" fillId="0" borderId="0" xfId="37" applyNumberFormat="1" applyFont="1" applyAlignment="1">
      <alignment vertical="top" wrapText="1"/>
    </xf>
    <xf numFmtId="4" fontId="9" fillId="0" borderId="0" xfId="37" applyNumberFormat="1" applyFont="1"/>
    <xf numFmtId="170" fontId="8" fillId="0" borderId="0" xfId="37" applyNumberFormat="1" applyFont="1"/>
    <xf numFmtId="2" fontId="6" fillId="0" borderId="0" xfId="0" applyNumberFormat="1" applyFont="1"/>
    <xf numFmtId="0" fontId="11" fillId="0" borderId="0" xfId="11" applyFont="1"/>
    <xf numFmtId="169" fontId="3" fillId="0" borderId="0" xfId="11" applyNumberFormat="1" applyFont="1"/>
    <xf numFmtId="169" fontId="10" fillId="0" borderId="0" xfId="11" applyNumberFormat="1" applyFont="1"/>
    <xf numFmtId="0" fontId="10" fillId="0" borderId="0" xfId="11" applyFont="1"/>
    <xf numFmtId="2" fontId="19" fillId="0" borderId="0" xfId="0" applyNumberFormat="1" applyFont="1"/>
    <xf numFmtId="169" fontId="31" fillId="0" borderId="0" xfId="37" applyNumberFormat="1" applyFont="1"/>
    <xf numFmtId="169" fontId="19" fillId="0" borderId="0" xfId="37" applyNumberFormat="1" applyFont="1"/>
    <xf numFmtId="49" fontId="10" fillId="0" borderId="0" xfId="37" applyNumberFormat="1" applyFont="1" applyAlignment="1">
      <alignment horizontal="left" vertical="top" wrapText="1"/>
    </xf>
    <xf numFmtId="169" fontId="40" fillId="0" borderId="0" xfId="37" applyNumberFormat="1" applyFont="1"/>
    <xf numFmtId="0" fontId="31" fillId="0" borderId="0" xfId="0" applyFont="1" applyAlignment="1">
      <alignment horizontal="right"/>
    </xf>
    <xf numFmtId="0" fontId="31" fillId="0" borderId="0" xfId="0" applyFont="1" applyAlignment="1">
      <alignment horizontal="center"/>
    </xf>
    <xf numFmtId="4" fontId="31" fillId="0" borderId="0" xfId="0" applyNumberFormat="1" applyFont="1" applyAlignment="1">
      <alignment horizontal="right"/>
    </xf>
    <xf numFmtId="0" fontId="31" fillId="0" borderId="3" xfId="0" applyFont="1" applyBorder="1" applyAlignment="1">
      <alignment horizontal="center"/>
    </xf>
    <xf numFmtId="4" fontId="31" fillId="0" borderId="4" xfId="0" applyNumberFormat="1" applyFont="1" applyBorder="1" applyAlignment="1">
      <alignment horizontal="right"/>
    </xf>
    <xf numFmtId="0" fontId="31" fillId="0" borderId="5" xfId="0" applyFont="1" applyBorder="1" applyAlignment="1">
      <alignment horizontal="right"/>
    </xf>
    <xf numFmtId="4" fontId="31" fillId="0" borderId="5" xfId="0" applyNumberFormat="1" applyFont="1" applyBorder="1" applyAlignment="1">
      <alignment horizontal="right"/>
    </xf>
    <xf numFmtId="169" fontId="32" fillId="0" borderId="5" xfId="36" applyNumberFormat="1" applyFont="1" applyBorder="1"/>
    <xf numFmtId="169" fontId="32" fillId="0" borderId="6" xfId="36" applyNumberFormat="1" applyFont="1" applyBorder="1"/>
    <xf numFmtId="169" fontId="32" fillId="0" borderId="5" xfId="37" applyNumberFormat="1" applyFont="1" applyBorder="1"/>
    <xf numFmtId="169" fontId="32" fillId="0" borderId="6" xfId="37" applyNumberFormat="1" applyFont="1" applyBorder="1"/>
    <xf numFmtId="169" fontId="4" fillId="0" borderId="5" xfId="36" applyNumberFormat="1" applyBorder="1"/>
    <xf numFmtId="4" fontId="6" fillId="0" borderId="5" xfId="36" applyNumberFormat="1" applyFont="1" applyBorder="1"/>
    <xf numFmtId="4" fontId="31" fillId="0" borderId="7" xfId="0" applyNumberFormat="1" applyFont="1" applyBorder="1" applyAlignment="1">
      <alignment horizontal="right"/>
    </xf>
    <xf numFmtId="3" fontId="6" fillId="0" borderId="5" xfId="36" applyNumberFormat="1" applyFont="1" applyBorder="1"/>
    <xf numFmtId="4" fontId="6" fillId="0" borderId="5" xfId="0" applyNumberFormat="1" applyFont="1" applyBorder="1"/>
    <xf numFmtId="169" fontId="4" fillId="0" borderId="5" xfId="0" applyNumberFormat="1" applyFont="1" applyBorder="1"/>
    <xf numFmtId="4" fontId="6" fillId="0" borderId="5" xfId="37" applyNumberFormat="1" applyFont="1" applyBorder="1"/>
    <xf numFmtId="169" fontId="4" fillId="0" borderId="5" xfId="37" applyNumberFormat="1" applyBorder="1"/>
    <xf numFmtId="170" fontId="6" fillId="0" borderId="0" xfId="37" applyNumberFormat="1" applyFont="1" applyAlignment="1">
      <alignment horizontal="left" vertical="top" wrapText="1"/>
    </xf>
    <xf numFmtId="169" fontId="19" fillId="0" borderId="0" xfId="36" applyNumberFormat="1" applyFont="1"/>
    <xf numFmtId="170" fontId="6" fillId="0" borderId="0" xfId="37" applyNumberFormat="1" applyFont="1" applyAlignment="1">
      <alignment vertical="top" wrapText="1"/>
    </xf>
    <xf numFmtId="4" fontId="6" fillId="0" borderId="0" xfId="36" applyNumberFormat="1" applyFont="1" applyAlignment="1">
      <alignment vertical="top" wrapText="1"/>
    </xf>
    <xf numFmtId="170" fontId="6" fillId="0" borderId="0" xfId="37" applyNumberFormat="1" applyFont="1" applyAlignment="1">
      <alignment vertical="center"/>
    </xf>
    <xf numFmtId="4" fontId="6" fillId="0" borderId="8" xfId="36" applyNumberFormat="1" applyFont="1" applyBorder="1"/>
    <xf numFmtId="0" fontId="31" fillId="0" borderId="0" xfId="0" applyFont="1" applyBorder="1" applyAlignment="1">
      <alignment horizontal="right"/>
    </xf>
    <xf numFmtId="4" fontId="31" fillId="0" borderId="0" xfId="0" applyNumberFormat="1" applyFont="1" applyBorder="1" applyAlignment="1">
      <alignment horizontal="right"/>
    </xf>
    <xf numFmtId="0" fontId="31" fillId="0" borderId="0" xfId="0" applyFont="1" applyBorder="1" applyAlignment="1">
      <alignment horizontal="center"/>
    </xf>
    <xf numFmtId="169" fontId="6" fillId="0" borderId="5" xfId="36" applyNumberFormat="1" applyFont="1" applyBorder="1" applyProtection="1">
      <protection locked="0"/>
    </xf>
    <xf numFmtId="170" fontId="6" fillId="0" borderId="0" xfId="36" applyNumberFormat="1" applyFont="1" applyProtection="1">
      <protection locked="0"/>
    </xf>
    <xf numFmtId="170" fontId="6" fillId="0" borderId="5" xfId="36" applyNumberFormat="1" applyFont="1" applyBorder="1" applyProtection="1">
      <protection locked="0"/>
    </xf>
    <xf numFmtId="170" fontId="15" fillId="0" borderId="0" xfId="36" applyNumberFormat="1" applyFont="1" applyProtection="1">
      <protection locked="0"/>
    </xf>
    <xf numFmtId="4" fontId="31" fillId="0" borderId="0" xfId="0" applyNumberFormat="1" applyFont="1" applyBorder="1" applyAlignment="1" applyProtection="1">
      <alignment horizontal="right"/>
      <protection locked="0"/>
    </xf>
    <xf numFmtId="4" fontId="31" fillId="0" borderId="5" xfId="0" applyNumberFormat="1" applyFont="1" applyBorder="1" applyAlignment="1" applyProtection="1">
      <alignment horizontal="right"/>
      <protection locked="0"/>
    </xf>
    <xf numFmtId="170" fontId="12" fillId="0" borderId="0" xfId="36" applyNumberFormat="1" applyFont="1" applyProtection="1">
      <protection locked="0"/>
    </xf>
    <xf numFmtId="170" fontId="12" fillId="0" borderId="0" xfId="11" applyNumberFormat="1" applyFont="1" applyProtection="1">
      <protection locked="0"/>
    </xf>
    <xf numFmtId="4" fontId="6" fillId="0" borderId="5" xfId="36" applyNumberFormat="1" applyFont="1" applyBorder="1" applyProtection="1">
      <protection locked="0"/>
    </xf>
    <xf numFmtId="170" fontId="13" fillId="0" borderId="0" xfId="36" applyNumberFormat="1" applyFont="1" applyProtection="1">
      <protection locked="0"/>
    </xf>
    <xf numFmtId="169" fontId="6" fillId="0" borderId="0" xfId="36" applyNumberFormat="1" applyFont="1" applyProtection="1">
      <protection locked="0"/>
    </xf>
    <xf numFmtId="0" fontId="9" fillId="0" borderId="0" xfId="11" applyFont="1" applyProtection="1">
      <protection locked="0"/>
    </xf>
    <xf numFmtId="0" fontId="12" fillId="0" borderId="0" xfId="36" applyFont="1" applyProtection="1">
      <protection locked="0"/>
    </xf>
    <xf numFmtId="0" fontId="9" fillId="0" borderId="0" xfId="36" applyFont="1" applyProtection="1">
      <protection locked="0"/>
    </xf>
    <xf numFmtId="169" fontId="6" fillId="0" borderId="5" xfId="37" applyNumberFormat="1" applyFont="1" applyBorder="1" applyProtection="1">
      <protection locked="0"/>
    </xf>
    <xf numFmtId="170" fontId="6" fillId="0" borderId="0" xfId="37" applyNumberFormat="1" applyFont="1" applyProtection="1">
      <protection locked="0"/>
    </xf>
    <xf numFmtId="170" fontId="6" fillId="0" borderId="5" xfId="37" applyNumberFormat="1" applyFont="1" applyBorder="1" applyProtection="1">
      <protection locked="0"/>
    </xf>
    <xf numFmtId="170" fontId="15" fillId="0" borderId="0" xfId="37" applyNumberFormat="1" applyFont="1" applyProtection="1">
      <protection locked="0"/>
    </xf>
    <xf numFmtId="170" fontId="12" fillId="0" borderId="0" xfId="37" applyNumberFormat="1" applyFont="1" applyProtection="1">
      <protection locked="0"/>
    </xf>
    <xf numFmtId="170" fontId="13" fillId="0" borderId="0" xfId="37" applyNumberFormat="1" applyFont="1" applyProtection="1">
      <protection locked="0"/>
    </xf>
    <xf numFmtId="170" fontId="15" fillId="0" borderId="0" xfId="11" applyNumberFormat="1" applyFont="1" applyProtection="1">
      <protection locked="0"/>
    </xf>
    <xf numFmtId="4" fontId="31" fillId="0" borderId="4" xfId="0" applyNumberFormat="1" applyFont="1" applyBorder="1" applyAlignment="1" applyProtection="1">
      <alignment horizontal="right"/>
      <protection locked="0"/>
    </xf>
    <xf numFmtId="0" fontId="9" fillId="0" borderId="0" xfId="37" applyFont="1" applyProtection="1">
      <protection locked="0"/>
    </xf>
    <xf numFmtId="4" fontId="33" fillId="0" borderId="5" xfId="0" applyNumberFormat="1" applyFont="1" applyBorder="1" applyAlignment="1">
      <alignment horizontal="left" vertical="center"/>
    </xf>
    <xf numFmtId="4" fontId="33" fillId="0" borderId="0" xfId="0" applyNumberFormat="1" applyFont="1" applyBorder="1" applyAlignment="1">
      <alignment horizontal="left" vertical="justify"/>
    </xf>
    <xf numFmtId="0" fontId="33" fillId="0" borderId="0" xfId="0" applyFont="1" applyBorder="1" applyAlignment="1">
      <alignment horizontal="left" vertical="justify"/>
    </xf>
    <xf numFmtId="171" fontId="33" fillId="0" borderId="0" xfId="0" applyNumberFormat="1" applyFont="1" applyAlignment="1">
      <alignment horizontal="left" vertical="top"/>
    </xf>
    <xf numFmtId="171" fontId="33" fillId="0" borderId="0" xfId="0" applyNumberFormat="1" applyFont="1" applyBorder="1" applyAlignment="1">
      <alignment vertical="justify"/>
    </xf>
    <xf numFmtId="4" fontId="33" fillId="0" borderId="0" xfId="0" applyNumberFormat="1" applyFont="1" applyAlignment="1">
      <alignment horizontal="right" vertical="justify" wrapText="1"/>
    </xf>
    <xf numFmtId="4" fontId="33" fillId="0" borderId="0" xfId="0" applyNumberFormat="1" applyFont="1" applyBorder="1" applyAlignment="1">
      <alignment horizontal="right" vertical="justify"/>
    </xf>
    <xf numFmtId="4" fontId="33" fillId="0" borderId="0" xfId="0" applyNumberFormat="1" applyFont="1" applyAlignment="1">
      <alignment horizontal="right" vertical="justify"/>
    </xf>
    <xf numFmtId="4" fontId="33" fillId="0" borderId="5" xfId="0" applyNumberFormat="1" applyFont="1" applyBorder="1" applyAlignment="1">
      <alignment horizontal="right" vertical="justify"/>
    </xf>
    <xf numFmtId="0" fontId="0" fillId="0" borderId="0" xfId="0" applyAlignment="1">
      <alignment horizontal="left" vertical="justify"/>
    </xf>
    <xf numFmtId="4" fontId="0" fillId="0" borderId="0" xfId="0" applyNumberFormat="1" applyAlignment="1">
      <alignment horizontal="left" vertical="justify"/>
    </xf>
    <xf numFmtId="4" fontId="0" fillId="0" borderId="0" xfId="0" applyNumberFormat="1" applyAlignment="1">
      <alignment horizontal="right" vertical="justify"/>
    </xf>
    <xf numFmtId="0" fontId="33" fillId="0" borderId="0" xfId="0" applyFont="1" applyAlignment="1">
      <alignment horizontal="left" vertical="justify"/>
    </xf>
    <xf numFmtId="4" fontId="32" fillId="0" borderId="0" xfId="0" applyNumberFormat="1" applyFont="1" applyBorder="1" applyAlignment="1">
      <alignment horizontal="left" vertical="justify"/>
    </xf>
    <xf numFmtId="4" fontId="32" fillId="0" borderId="0" xfId="0" applyNumberFormat="1" applyFont="1" applyBorder="1" applyAlignment="1">
      <alignment horizontal="right" vertical="justify"/>
    </xf>
    <xf numFmtId="4" fontId="33" fillId="0" borderId="0" xfId="0" applyNumberFormat="1" applyFont="1" applyAlignment="1">
      <alignment horizontal="left" vertical="justify"/>
    </xf>
    <xf numFmtId="4" fontId="32" fillId="0" borderId="0" xfId="0" applyNumberFormat="1" applyFont="1" applyBorder="1" applyAlignment="1">
      <alignment horizontal="center" vertical="justify"/>
    </xf>
    <xf numFmtId="4" fontId="33" fillId="0" borderId="0" xfId="0" applyNumberFormat="1" applyFont="1" applyAlignment="1">
      <alignment horizontal="left" vertical="justify" wrapText="1"/>
    </xf>
    <xf numFmtId="4" fontId="32" fillId="0" borderId="0" xfId="0" applyNumberFormat="1" applyFont="1" applyAlignment="1">
      <alignment horizontal="right" vertical="justify"/>
    </xf>
    <xf numFmtId="4" fontId="32" fillId="0" borderId="0" xfId="0" applyNumberFormat="1" applyFont="1" applyAlignment="1">
      <alignment horizontal="left" vertical="justify" wrapText="1"/>
    </xf>
    <xf numFmtId="4" fontId="41" fillId="0" borderId="0" xfId="0" applyNumberFormat="1" applyFont="1" applyBorder="1" applyAlignment="1">
      <alignment horizontal="center" vertical="justify"/>
    </xf>
    <xf numFmtId="4" fontId="41" fillId="0" borderId="0" xfId="0" applyNumberFormat="1" applyFont="1" applyBorder="1" applyAlignment="1">
      <alignment horizontal="right" vertical="justify"/>
    </xf>
    <xf numFmtId="4" fontId="33" fillId="0" borderId="0" xfId="0" applyNumberFormat="1" applyFont="1" applyBorder="1" applyAlignment="1">
      <alignment horizontal="left" vertical="justify" wrapText="1"/>
    </xf>
    <xf numFmtId="16" fontId="33" fillId="0" borderId="5" xfId="0" applyNumberFormat="1" applyFont="1" applyBorder="1" applyAlignment="1">
      <alignment horizontal="left" vertical="justify"/>
    </xf>
    <xf numFmtId="16" fontId="33" fillId="0" borderId="4" xfId="0" applyNumberFormat="1" applyFont="1" applyBorder="1" applyAlignment="1">
      <alignment horizontal="left" vertical="justify"/>
    </xf>
    <xf numFmtId="0" fontId="33" fillId="0" borderId="5" xfId="0" applyFont="1" applyBorder="1" applyAlignment="1">
      <alignment horizontal="left" vertical="justify"/>
    </xf>
    <xf numFmtId="0" fontId="33" fillId="0" borderId="4" xfId="0" applyFont="1" applyBorder="1" applyAlignment="1">
      <alignment horizontal="left" vertical="justify"/>
    </xf>
    <xf numFmtId="0" fontId="33" fillId="0" borderId="9" xfId="0" applyFont="1" applyBorder="1" applyAlignment="1">
      <alignment horizontal="left" vertical="justify"/>
    </xf>
    <xf numFmtId="0" fontId="42" fillId="0" borderId="10" xfId="0" applyFont="1" applyBorder="1" applyAlignment="1">
      <alignment horizontal="left" vertical="justify"/>
    </xf>
    <xf numFmtId="0" fontId="32" fillId="0" borderId="0" xfId="0" applyFont="1" applyBorder="1" applyAlignment="1">
      <alignment horizontal="left" vertical="justify"/>
    </xf>
    <xf numFmtId="0" fontId="32" fillId="0" borderId="0" xfId="0" applyFont="1" applyBorder="1" applyAlignment="1">
      <alignment horizontal="right" vertical="justify"/>
    </xf>
    <xf numFmtId="14" fontId="33" fillId="0" borderId="0" xfId="0" applyNumberFormat="1" applyFont="1" applyAlignment="1">
      <alignment horizontal="left" vertical="justify"/>
    </xf>
    <xf numFmtId="4" fontId="32" fillId="0" borderId="0" xfId="0" applyNumberFormat="1" applyFont="1" applyAlignment="1">
      <alignment horizontal="left" vertical="justify"/>
    </xf>
    <xf numFmtId="4" fontId="33" fillId="0" borderId="5" xfId="0" applyNumberFormat="1" applyFont="1" applyBorder="1" applyAlignment="1">
      <alignment horizontal="left" vertical="justify"/>
    </xf>
    <xf numFmtId="4" fontId="33" fillId="0" borderId="3" xfId="0" applyNumberFormat="1" applyFont="1" applyBorder="1" applyAlignment="1">
      <alignment horizontal="right" vertical="justify"/>
    </xf>
    <xf numFmtId="4" fontId="33" fillId="0" borderId="11" xfId="0" applyNumberFormat="1" applyFont="1" applyBorder="1" applyAlignment="1">
      <alignment horizontal="left" vertical="justify"/>
    </xf>
    <xf numFmtId="4" fontId="33" fillId="0" borderId="11" xfId="0" applyNumberFormat="1" applyFont="1" applyBorder="1" applyAlignment="1">
      <alignment horizontal="right" vertical="justify"/>
    </xf>
    <xf numFmtId="0" fontId="0" fillId="0" borderId="0" xfId="0" applyAlignment="1">
      <alignment vertical="justify"/>
    </xf>
    <xf numFmtId="0" fontId="0" fillId="0" borderId="11" xfId="0" applyBorder="1" applyAlignment="1">
      <alignment vertical="justify"/>
    </xf>
    <xf numFmtId="4" fontId="33" fillId="0" borderId="3" xfId="0" applyNumberFormat="1" applyFont="1" applyBorder="1" applyAlignment="1">
      <alignment horizontal="left" vertical="justify"/>
    </xf>
    <xf numFmtId="4" fontId="33" fillId="0" borderId="0" xfId="0" applyNumberFormat="1" applyFont="1" applyBorder="1" applyAlignment="1">
      <alignment horizontal="right" vertical="justify" wrapText="1"/>
    </xf>
    <xf numFmtId="4" fontId="33" fillId="0" borderId="12" xfId="0" applyNumberFormat="1" applyFont="1" applyBorder="1" applyAlignment="1">
      <alignment horizontal="left" vertical="justify"/>
    </xf>
    <xf numFmtId="4" fontId="33" fillId="0" borderId="12" xfId="0" applyNumberFormat="1" applyFont="1" applyBorder="1" applyAlignment="1">
      <alignment horizontal="right" vertical="justify"/>
    </xf>
    <xf numFmtId="4" fontId="33" fillId="0" borderId="7" xfId="0" applyNumberFormat="1" applyFont="1" applyBorder="1" applyAlignment="1">
      <alignment horizontal="left" vertical="justify"/>
    </xf>
    <xf numFmtId="4" fontId="33" fillId="0" borderId="13" xfId="0" applyNumberFormat="1" applyFont="1" applyBorder="1" applyAlignment="1">
      <alignment horizontal="right" vertical="justify"/>
    </xf>
    <xf numFmtId="0" fontId="0" fillId="0" borderId="0" xfId="0" applyAlignment="1">
      <alignment horizontal="right" vertical="justify"/>
    </xf>
    <xf numFmtId="4" fontId="0" fillId="0" borderId="0" xfId="0" applyNumberFormat="1" applyBorder="1" applyAlignment="1">
      <alignment horizontal="right" vertical="justify"/>
    </xf>
    <xf numFmtId="4" fontId="32" fillId="0" borderId="14" xfId="0" applyNumberFormat="1" applyFont="1" applyBorder="1" applyAlignment="1">
      <alignment horizontal="left" vertical="justify"/>
    </xf>
    <xf numFmtId="4" fontId="32" fillId="0" borderId="15" xfId="0" applyNumberFormat="1" applyFont="1" applyBorder="1" applyAlignment="1">
      <alignment horizontal="right" vertical="justify"/>
    </xf>
    <xf numFmtId="4" fontId="32" fillId="0" borderId="16" xfId="0" applyNumberFormat="1" applyFont="1" applyBorder="1" applyAlignment="1">
      <alignment horizontal="right" vertical="justify"/>
    </xf>
    <xf numFmtId="4" fontId="32" fillId="0" borderId="17" xfId="0" applyNumberFormat="1" applyFont="1" applyBorder="1" applyAlignment="1">
      <alignment horizontal="right" vertical="justify"/>
    </xf>
    <xf numFmtId="2" fontId="0" fillId="0" borderId="0" xfId="0" applyNumberFormat="1" applyAlignment="1">
      <alignment horizontal="right" vertical="justify"/>
    </xf>
    <xf numFmtId="4" fontId="0" fillId="0" borderId="0" xfId="0" applyNumberFormat="1" applyAlignment="1">
      <alignment vertical="justify"/>
    </xf>
    <xf numFmtId="2" fontId="0" fillId="0" borderId="5" xfId="0" applyNumberFormat="1" applyBorder="1" applyAlignment="1">
      <alignment horizontal="right" vertical="justify"/>
    </xf>
    <xf numFmtId="4" fontId="0" fillId="0" borderId="5" xfId="0" applyNumberFormat="1" applyBorder="1" applyAlignment="1">
      <alignment vertical="justify"/>
    </xf>
    <xf numFmtId="0" fontId="33" fillId="0" borderId="0" xfId="0" applyFont="1" applyAlignment="1">
      <alignment horizontal="right" vertical="justify"/>
    </xf>
    <xf numFmtId="0" fontId="33" fillId="0" borderId="11" xfId="0" applyFont="1" applyBorder="1" applyAlignment="1">
      <alignment horizontal="left" vertical="justify"/>
    </xf>
    <xf numFmtId="0" fontId="33" fillId="0" borderId="11" xfId="0" applyFont="1" applyBorder="1" applyAlignment="1">
      <alignment horizontal="right" vertical="justify"/>
    </xf>
    <xf numFmtId="171" fontId="33" fillId="0" borderId="5" xfId="0" applyNumberFormat="1" applyFont="1" applyBorder="1" applyAlignment="1">
      <alignment horizontal="left" vertical="justify"/>
    </xf>
    <xf numFmtId="171" fontId="33" fillId="0" borderId="3" xfId="0" applyNumberFormat="1" applyFont="1" applyBorder="1" applyAlignment="1">
      <alignment horizontal="right" vertical="justify"/>
    </xf>
    <xf numFmtId="172" fontId="33" fillId="0" borderId="5" xfId="0" applyNumberFormat="1" applyFont="1" applyBorder="1" applyAlignment="1">
      <alignment horizontal="right" vertical="justify"/>
    </xf>
    <xf numFmtId="0" fontId="33" fillId="2" borderId="0" xfId="0" applyFont="1" applyFill="1" applyAlignment="1">
      <alignment horizontal="left" vertical="justify"/>
    </xf>
    <xf numFmtId="0" fontId="33" fillId="2" borderId="0" xfId="0" applyFont="1" applyFill="1" applyAlignment="1">
      <alignment horizontal="right" vertical="justify"/>
    </xf>
    <xf numFmtId="4" fontId="0" fillId="2" borderId="0" xfId="0" applyNumberFormat="1" applyFill="1" applyAlignment="1">
      <alignment horizontal="right" vertical="justify"/>
    </xf>
    <xf numFmtId="171" fontId="33" fillId="0" borderId="11" xfId="0" applyNumberFormat="1" applyFont="1" applyBorder="1" applyAlignment="1">
      <alignment horizontal="left" vertical="justify"/>
    </xf>
    <xf numFmtId="171" fontId="33" fillId="0" borderId="11" xfId="0" applyNumberFormat="1" applyFont="1" applyBorder="1" applyAlignment="1">
      <alignment horizontal="right" vertical="justify"/>
    </xf>
    <xf numFmtId="0" fontId="33" fillId="0" borderId="0" xfId="0" applyFont="1" applyBorder="1" applyAlignment="1">
      <alignment horizontal="left" vertical="justify" wrapText="1"/>
    </xf>
    <xf numFmtId="4" fontId="0" fillId="0" borderId="0" xfId="0" applyNumberFormat="1" applyBorder="1" applyAlignment="1">
      <alignment horizontal="left" vertical="justify"/>
    </xf>
    <xf numFmtId="0" fontId="0" fillId="0" borderId="0" xfId="0" applyBorder="1" applyAlignment="1">
      <alignment horizontal="left" vertical="justify"/>
    </xf>
    <xf numFmtId="0" fontId="0" fillId="0" borderId="0" xfId="0" applyBorder="1" applyAlignment="1">
      <alignment horizontal="right" vertical="justify"/>
    </xf>
    <xf numFmtId="0" fontId="33" fillId="2" borderId="0" xfId="0" applyFont="1" applyFill="1" applyAlignment="1">
      <alignment horizontal="justify" vertical="top"/>
    </xf>
    <xf numFmtId="0" fontId="33" fillId="2" borderId="5" xfId="0" applyFont="1" applyFill="1" applyBorder="1" applyAlignment="1">
      <alignment horizontal="justify" vertical="top"/>
    </xf>
    <xf numFmtId="4" fontId="0" fillId="0" borderId="5" xfId="0" applyNumberFormat="1" applyBorder="1" applyAlignment="1">
      <alignment horizontal="right" vertical="justify"/>
    </xf>
    <xf numFmtId="0" fontId="9" fillId="0" borderId="0" xfId="0" applyFont="1" applyFill="1"/>
    <xf numFmtId="0" fontId="50" fillId="0" borderId="0" xfId="0" applyFont="1" applyFill="1" applyAlignment="1" applyProtection="1">
      <alignment horizontal="right" vertical="top"/>
    </xf>
    <xf numFmtId="4" fontId="54" fillId="0" borderId="0" xfId="0" applyNumberFormat="1" applyFont="1" applyFill="1" applyBorder="1" applyAlignment="1" applyProtection="1">
      <alignment horizontal="right"/>
    </xf>
    <xf numFmtId="4" fontId="51" fillId="0" borderId="0" xfId="0" applyNumberFormat="1" applyFont="1" applyFill="1" applyBorder="1" applyAlignment="1" applyProtection="1">
      <alignment horizontal="center"/>
    </xf>
    <xf numFmtId="173" fontId="51" fillId="0" borderId="0" xfId="0" applyNumberFormat="1" applyFont="1" applyFill="1" applyBorder="1" applyAlignment="1" applyProtection="1">
      <alignment horizontal="right"/>
      <protection locked="0"/>
    </xf>
    <xf numFmtId="173" fontId="51" fillId="0" borderId="0" xfId="0" applyNumberFormat="1" applyFont="1" applyFill="1" applyBorder="1" applyAlignment="1" applyProtection="1">
      <alignment horizontal="right"/>
    </xf>
    <xf numFmtId="173" fontId="54" fillId="0" borderId="0" xfId="0" applyNumberFormat="1" applyFont="1" applyFill="1" applyBorder="1" applyAlignment="1" applyProtection="1">
      <alignment horizontal="right"/>
      <protection locked="0"/>
    </xf>
    <xf numFmtId="173" fontId="54" fillId="0" borderId="0" xfId="0" applyNumberFormat="1" applyFont="1" applyFill="1" applyBorder="1" applyAlignment="1" applyProtection="1">
      <alignment horizontal="right"/>
    </xf>
    <xf numFmtId="0" fontId="2" fillId="0" borderId="0" xfId="0" applyFont="1" applyFill="1"/>
    <xf numFmtId="0" fontId="2" fillId="0" borderId="11" xfId="0" applyFont="1" applyFill="1" applyBorder="1"/>
    <xf numFmtId="0" fontId="3" fillId="0" borderId="0" xfId="0" applyFont="1" applyFill="1" applyBorder="1" applyAlignment="1">
      <alignment horizontal="center"/>
    </xf>
    <xf numFmtId="4" fontId="3" fillId="0" borderId="0" xfId="0" applyNumberFormat="1" applyFont="1" applyFill="1" applyBorder="1" applyAlignment="1">
      <alignment horizontal="left" wrapText="1"/>
    </xf>
    <xf numFmtId="4" fontId="3" fillId="0" borderId="0" xfId="0" applyNumberFormat="1" applyFont="1" applyFill="1" applyBorder="1"/>
    <xf numFmtId="0" fontId="47" fillId="0" borderId="0" xfId="0" applyFont="1" applyFill="1" applyBorder="1"/>
    <xf numFmtId="0" fontId="47" fillId="0" borderId="18" xfId="0" applyFont="1" applyFill="1" applyBorder="1"/>
    <xf numFmtId="0" fontId="2" fillId="0" borderId="0" xfId="0" applyFont="1" applyFill="1" applyAlignment="1">
      <alignment vertical="top"/>
    </xf>
    <xf numFmtId="0" fontId="2" fillId="0" borderId="18" xfId="0" applyFont="1" applyFill="1" applyBorder="1"/>
    <xf numFmtId="4" fontId="4" fillId="0" borderId="11" xfId="0" applyNumberFormat="1" applyFont="1" applyFill="1" applyBorder="1" applyAlignment="1">
      <alignment horizontal="left" vertical="top" wrapText="1"/>
    </xf>
    <xf numFmtId="4" fontId="4" fillId="0" borderId="11" xfId="0" applyNumberFormat="1" applyFont="1" applyFill="1" applyBorder="1"/>
    <xf numFmtId="0" fontId="47" fillId="0" borderId="11" xfId="0" applyFont="1" applyFill="1" applyBorder="1"/>
    <xf numFmtId="1" fontId="3" fillId="0" borderId="0" xfId="0" applyNumberFormat="1" applyFont="1" applyFill="1" applyAlignment="1">
      <alignment horizontal="left"/>
    </xf>
    <xf numFmtId="4" fontId="4" fillId="0" borderId="0" xfId="0" applyNumberFormat="1" applyFont="1" applyFill="1"/>
    <xf numFmtId="0" fontId="47" fillId="0" borderId="0" xfId="0" applyFont="1" applyFill="1"/>
    <xf numFmtId="173" fontId="47" fillId="0" borderId="0" xfId="0" applyNumberFormat="1" applyFont="1" applyFill="1" applyBorder="1"/>
    <xf numFmtId="4" fontId="4" fillId="0" borderId="0" xfId="0" applyNumberFormat="1" applyFont="1" applyFill="1" applyAlignment="1">
      <alignment horizontal="left" vertical="top" wrapText="1"/>
    </xf>
    <xf numFmtId="14" fontId="49" fillId="0" borderId="0" xfId="35" applyNumberFormat="1" applyFont="1" applyFill="1" applyBorder="1" applyAlignment="1" applyProtection="1">
      <alignment horizontal="center" vertical="center"/>
    </xf>
    <xf numFmtId="4" fontId="3" fillId="0" borderId="0" xfId="35" applyNumberFormat="1" applyFont="1" applyFill="1" applyBorder="1" applyAlignment="1" applyProtection="1">
      <alignment horizontal="justify" vertical="distributed"/>
    </xf>
    <xf numFmtId="4" fontId="56" fillId="0" borderId="0" xfId="35" applyNumberFormat="1" applyFont="1" applyFill="1" applyBorder="1" applyAlignment="1" applyProtection="1">
      <alignment horizontal="justify" vertical="distributed"/>
    </xf>
    <xf numFmtId="0" fontId="4" fillId="0" borderId="0" xfId="0" applyFont="1" applyFill="1" applyAlignment="1">
      <alignment horizontal="justify" vertical="top" wrapText="1"/>
    </xf>
    <xf numFmtId="173" fontId="54" fillId="0" borderId="0" xfId="12" applyNumberFormat="1" applyFont="1" applyFill="1" applyBorder="1" applyAlignment="1" applyProtection="1">
      <alignment horizontal="right"/>
    </xf>
    <xf numFmtId="173" fontId="51" fillId="0" borderId="0" xfId="0" applyNumberFormat="1" applyFont="1" applyFill="1" applyBorder="1"/>
    <xf numFmtId="0" fontId="63" fillId="0" borderId="0" xfId="0" applyFont="1" applyFill="1"/>
    <xf numFmtId="4" fontId="3" fillId="0" borderId="0" xfId="0" applyNumberFormat="1" applyFont="1" applyFill="1" applyBorder="1" applyAlignment="1">
      <alignment horizontal="left" vertical="top" wrapText="1"/>
    </xf>
    <xf numFmtId="4" fontId="3" fillId="0" borderId="0" xfId="0" applyNumberFormat="1" applyFont="1" applyFill="1" applyBorder="1" applyAlignment="1">
      <alignment horizontal="left" vertical="center" wrapText="1"/>
    </xf>
    <xf numFmtId="0" fontId="50" fillId="0" borderId="0" xfId="0" applyFont="1" applyFill="1" applyAlignment="1" applyProtection="1">
      <alignment horizontal="justify" vertical="distributed"/>
    </xf>
    <xf numFmtId="0" fontId="54" fillId="0" borderId="0" xfId="0" applyFont="1" applyFill="1" applyAlignment="1" applyProtection="1">
      <alignment horizontal="justify" vertical="distributed"/>
    </xf>
    <xf numFmtId="4" fontId="53" fillId="0" borderId="0" xfId="0" applyNumberFormat="1" applyFont="1" applyFill="1" applyAlignment="1" applyProtection="1">
      <alignment horizontal="right"/>
    </xf>
    <xf numFmtId="0" fontId="47" fillId="0" borderId="0" xfId="0" applyFont="1" applyFill="1" applyBorder="1" applyAlignment="1">
      <alignment vertical="center"/>
    </xf>
    <xf numFmtId="4" fontId="3" fillId="0" borderId="0" xfId="0" applyNumberFormat="1" applyFont="1" applyFill="1" applyBorder="1" applyAlignment="1">
      <alignment vertical="center"/>
    </xf>
    <xf numFmtId="173" fontId="47" fillId="0" borderId="0" xfId="0" applyNumberFormat="1" applyFont="1" applyFill="1" applyBorder="1" applyAlignment="1">
      <alignment vertical="center"/>
    </xf>
    <xf numFmtId="9" fontId="47" fillId="0" borderId="0" xfId="0" applyNumberFormat="1" applyFont="1" applyFill="1" applyBorder="1" applyAlignment="1">
      <alignment vertical="center"/>
    </xf>
    <xf numFmtId="0" fontId="47" fillId="0" borderId="19" xfId="0" applyFont="1" applyFill="1" applyBorder="1"/>
    <xf numFmtId="4" fontId="3" fillId="0" borderId="19" xfId="0" applyNumberFormat="1" applyFont="1" applyFill="1" applyBorder="1" applyAlignment="1">
      <alignment horizontal="left" vertical="top" wrapText="1"/>
    </xf>
    <xf numFmtId="4" fontId="3" fillId="0" borderId="19" xfId="0" applyNumberFormat="1" applyFont="1" applyFill="1" applyBorder="1"/>
    <xf numFmtId="173" fontId="47" fillId="0" borderId="19" xfId="0" applyNumberFormat="1" applyFont="1" applyFill="1" applyBorder="1"/>
    <xf numFmtId="0" fontId="3" fillId="0" borderId="22" xfId="0" applyFont="1" applyFill="1" applyBorder="1"/>
    <xf numFmtId="4" fontId="4" fillId="0" borderId="22" xfId="0" applyNumberFormat="1" applyFont="1" applyFill="1" applyBorder="1" applyAlignment="1">
      <alignment horizontal="left"/>
    </xf>
    <xf numFmtId="4" fontId="3" fillId="0" borderId="22" xfId="0" applyNumberFormat="1" applyFont="1" applyFill="1" applyBorder="1"/>
    <xf numFmtId="0" fontId="32" fillId="0" borderId="22" xfId="0" applyFont="1" applyFill="1" applyBorder="1"/>
    <xf numFmtId="173" fontId="47" fillId="0" borderId="22" xfId="0" applyNumberFormat="1" applyFont="1" applyFill="1" applyBorder="1"/>
    <xf numFmtId="0" fontId="3" fillId="0" borderId="18" xfId="0" applyFont="1" applyFill="1" applyBorder="1"/>
    <xf numFmtId="4" fontId="3" fillId="0" borderId="18" xfId="0" applyNumberFormat="1" applyFont="1" applyFill="1" applyBorder="1" applyAlignment="1">
      <alignment horizontal="left"/>
    </xf>
    <xf numFmtId="4" fontId="3" fillId="0" borderId="18" xfId="0" applyNumberFormat="1" applyFont="1" applyFill="1" applyBorder="1"/>
    <xf numFmtId="0" fontId="32" fillId="0" borderId="18" xfId="0" applyFont="1" applyFill="1" applyBorder="1"/>
    <xf numFmtId="173" fontId="47" fillId="0" borderId="18" xfId="0" applyNumberFormat="1" applyFont="1" applyFill="1" applyBorder="1"/>
    <xf numFmtId="4" fontId="34" fillId="0" borderId="0" xfId="35" applyNumberFormat="1" applyFont="1" applyFill="1" applyBorder="1" applyAlignment="1" applyProtection="1">
      <alignment horizontal="center" vertical="distributed"/>
    </xf>
    <xf numFmtId="4" fontId="34" fillId="0" borderId="0" xfId="35" applyNumberFormat="1" applyFont="1" applyFill="1" applyBorder="1" applyAlignment="1" applyProtection="1">
      <alignment horizontal="distributed" vertical="distributed"/>
    </xf>
    <xf numFmtId="4" fontId="34" fillId="0" borderId="0" xfId="35" applyNumberFormat="1" applyFont="1" applyFill="1" applyBorder="1" applyAlignment="1" applyProtection="1">
      <alignment horizontal="center" vertical="center"/>
    </xf>
    <xf numFmtId="4" fontId="34" fillId="0" borderId="0" xfId="35" applyNumberFormat="1" applyFont="1" applyFill="1" applyBorder="1" applyAlignment="1" applyProtection="1">
      <alignment horizontal="center" vertical="center" wrapText="1"/>
    </xf>
    <xf numFmtId="4" fontId="34" fillId="0" borderId="0" xfId="0" applyNumberFormat="1" applyFont="1" applyFill="1" applyBorder="1" applyAlignment="1" applyProtection="1">
      <alignment horizontal="center" vertical="center" wrapText="1"/>
    </xf>
    <xf numFmtId="14" fontId="49" fillId="0" borderId="23" xfId="35" applyNumberFormat="1" applyFont="1" applyFill="1" applyBorder="1" applyAlignment="1" applyProtection="1">
      <alignment horizontal="center" vertical="center"/>
    </xf>
    <xf numFmtId="4" fontId="3" fillId="0" borderId="23" xfId="35" applyNumberFormat="1" applyFont="1" applyFill="1" applyBorder="1" applyAlignment="1" applyProtection="1">
      <alignment horizontal="justify" vertical="distributed"/>
    </xf>
    <xf numFmtId="4" fontId="56" fillId="0" borderId="23" xfId="35" applyNumberFormat="1" applyFont="1" applyFill="1" applyBorder="1" applyAlignment="1" applyProtection="1">
      <alignment horizontal="justify" vertical="distributed"/>
    </xf>
    <xf numFmtId="4" fontId="34" fillId="0" borderId="23" xfId="35" applyNumberFormat="1" applyFont="1" applyFill="1" applyBorder="1" applyAlignment="1" applyProtection="1">
      <alignment horizontal="right"/>
    </xf>
    <xf numFmtId="4" fontId="34" fillId="0" borderId="23" xfId="0" applyNumberFormat="1" applyFont="1" applyFill="1" applyBorder="1" applyAlignment="1" applyProtection="1">
      <alignment horizontal="right"/>
    </xf>
    <xf numFmtId="4" fontId="34" fillId="0" borderId="0" xfId="35" applyNumberFormat="1" applyFont="1" applyFill="1" applyBorder="1" applyAlignment="1" applyProtection="1">
      <alignment horizontal="right"/>
    </xf>
    <xf numFmtId="4" fontId="34" fillId="0" borderId="0" xfId="0" applyNumberFormat="1" applyFont="1" applyFill="1" applyBorder="1" applyAlignment="1" applyProtection="1">
      <alignment horizontal="right"/>
    </xf>
    <xf numFmtId="2" fontId="51" fillId="0" borderId="0" xfId="0" applyNumberFormat="1" applyFont="1" applyFill="1" applyBorder="1" applyAlignment="1" applyProtection="1">
      <alignment horizontal="right"/>
    </xf>
    <xf numFmtId="4" fontId="4" fillId="0" borderId="0" xfId="16" applyNumberFormat="1" applyFill="1" applyBorder="1" applyAlignment="1" applyProtection="1">
      <alignment horizontal="justify" vertical="top"/>
    </xf>
    <xf numFmtId="4" fontId="62" fillId="0" borderId="0" xfId="0" applyNumberFormat="1" applyFont="1" applyFill="1" applyBorder="1" applyAlignment="1">
      <alignment horizontal="center"/>
    </xf>
    <xf numFmtId="4" fontId="51" fillId="0" borderId="0" xfId="0" applyNumberFormat="1" applyFont="1" applyFill="1" applyBorder="1" applyAlignment="1">
      <alignment horizontal="right"/>
    </xf>
    <xf numFmtId="0" fontId="4" fillId="0" borderId="0" xfId="0" applyFont="1" applyFill="1" applyBorder="1" applyAlignment="1">
      <alignment horizontal="justify" vertical="top" wrapText="1"/>
    </xf>
    <xf numFmtId="4" fontId="4" fillId="0" borderId="0" xfId="0" applyNumberFormat="1" applyFont="1" applyFill="1" applyBorder="1" applyAlignment="1">
      <alignment horizontal="center"/>
    </xf>
    <xf numFmtId="0" fontId="54" fillId="0" borderId="0" xfId="0" applyFont="1" applyFill="1" applyBorder="1" applyAlignment="1" applyProtection="1">
      <alignment horizontal="center"/>
    </xf>
    <xf numFmtId="4" fontId="4" fillId="0" borderId="0" xfId="0" applyNumberFormat="1" applyFont="1" applyFill="1" applyAlignment="1">
      <alignment horizontal="justify" vertical="top" wrapText="1"/>
    </xf>
    <xf numFmtId="0" fontId="54" fillId="0" borderId="0" xfId="0" applyFont="1" applyFill="1" applyBorder="1" applyAlignment="1" applyProtection="1">
      <alignment horizontal="center" vertical="distributed"/>
    </xf>
    <xf numFmtId="44" fontId="51" fillId="0" borderId="0" xfId="47" applyFont="1" applyFill="1" applyBorder="1" applyAlignment="1" applyProtection="1">
      <alignment vertical="center"/>
      <protection locked="0"/>
    </xf>
    <xf numFmtId="0" fontId="54" fillId="0" borderId="0" xfId="0" applyFont="1" applyFill="1" applyAlignment="1" applyProtection="1">
      <alignment horizontal="center" vertical="center"/>
    </xf>
    <xf numFmtId="4" fontId="51" fillId="0" borderId="0" xfId="0" applyNumberFormat="1" applyFont="1" applyFill="1" applyAlignment="1" applyProtection="1">
      <alignment horizontal="right" wrapText="1"/>
    </xf>
    <xf numFmtId="173" fontId="51" fillId="0" borderId="0" xfId="0" applyNumberFormat="1" applyFont="1" applyFill="1" applyAlignment="1" applyProtection="1">
      <alignment horizontal="right" wrapText="1"/>
    </xf>
    <xf numFmtId="4" fontId="51" fillId="0" borderId="0" xfId="0" applyNumberFormat="1" applyFont="1" applyFill="1" applyAlignment="1" applyProtection="1">
      <alignment horizontal="center" vertical="distributed"/>
    </xf>
    <xf numFmtId="179" fontId="54" fillId="0" borderId="0" xfId="0" applyNumberFormat="1" applyFont="1" applyFill="1" applyBorder="1" applyAlignment="1" applyProtection="1">
      <alignment horizontal="right"/>
      <protection locked="0"/>
    </xf>
    <xf numFmtId="4" fontId="4" fillId="0" borderId="0" xfId="6" applyNumberFormat="1" applyFont="1" applyAlignment="1">
      <alignment horizontal="justify" vertical="top" wrapText="1"/>
    </xf>
    <xf numFmtId="4" fontId="51" fillId="0" borderId="0" xfId="6" applyNumberFormat="1" applyFont="1" applyAlignment="1">
      <alignment horizontal="center" vertical="top" wrapText="1"/>
    </xf>
    <xf numFmtId="4" fontId="51" fillId="0" borderId="0" xfId="0" applyNumberFormat="1" applyFont="1" applyFill="1" applyAlignment="1">
      <alignment horizontal="center" vertical="top" wrapText="1"/>
    </xf>
    <xf numFmtId="0" fontId="4" fillId="0" borderId="0" xfId="38" applyAlignment="1">
      <alignment horizontal="justify" vertical="distributed"/>
    </xf>
    <xf numFmtId="0" fontId="51" fillId="0" borderId="0" xfId="0" applyFont="1" applyFill="1" applyBorder="1" applyAlignment="1" applyProtection="1">
      <alignment horizontal="center"/>
    </xf>
    <xf numFmtId="4" fontId="3" fillId="0" borderId="19" xfId="0" applyNumberFormat="1" applyFont="1" applyFill="1" applyBorder="1" applyAlignment="1" applyProtection="1">
      <alignment horizontal="justify" vertical="distributed"/>
    </xf>
    <xf numFmtId="4" fontId="51" fillId="0" borderId="19" xfId="0" applyNumberFormat="1" applyFont="1" applyFill="1" applyBorder="1" applyAlignment="1" applyProtection="1">
      <alignment horizontal="center" vertical="distributed"/>
    </xf>
    <xf numFmtId="4" fontId="54" fillId="0" borderId="19" xfId="0" applyNumberFormat="1" applyFont="1" applyFill="1" applyBorder="1" applyAlignment="1" applyProtection="1">
      <alignment horizontal="right"/>
    </xf>
    <xf numFmtId="173" fontId="54" fillId="0" borderId="19" xfId="0" applyNumberFormat="1" applyFont="1" applyFill="1" applyBorder="1" applyAlignment="1" applyProtection="1">
      <alignment horizontal="right"/>
    </xf>
    <xf numFmtId="4" fontId="34" fillId="0" borderId="5" xfId="35" applyNumberFormat="1" applyFont="1" applyFill="1" applyBorder="1" applyAlignment="1" applyProtection="1">
      <alignment horizontal="center" vertical="distributed"/>
    </xf>
    <xf numFmtId="4" fontId="34" fillId="0" borderId="5" xfId="35" applyNumberFormat="1" applyFont="1" applyFill="1" applyBorder="1" applyAlignment="1" applyProtection="1">
      <alignment horizontal="distributed" vertical="distributed"/>
    </xf>
    <xf numFmtId="4" fontId="34" fillId="0" borderId="5" xfId="35" applyNumberFormat="1" applyFont="1" applyFill="1" applyBorder="1" applyAlignment="1" applyProtection="1">
      <alignment horizontal="center" vertical="center"/>
    </xf>
    <xf numFmtId="4" fontId="34" fillId="0" borderId="5" xfId="35" applyNumberFormat="1" applyFont="1" applyFill="1" applyBorder="1" applyAlignment="1" applyProtection="1">
      <alignment horizontal="center" vertical="center" wrapText="1"/>
    </xf>
    <xf numFmtId="4" fontId="34" fillId="0" borderId="5" xfId="0" applyNumberFormat="1" applyFont="1" applyFill="1" applyBorder="1" applyAlignment="1" applyProtection="1">
      <alignment horizontal="center" vertical="center" wrapText="1"/>
    </xf>
    <xf numFmtId="0" fontId="4" fillId="0" borderId="0" xfId="36" applyAlignment="1">
      <alignment horizontal="justify" vertical="top" wrapText="1"/>
    </xf>
    <xf numFmtId="0" fontId="2" fillId="0" borderId="0" xfId="0" applyFont="1" applyFill="1" applyAlignment="1" applyProtection="1">
      <alignment horizontal="justify" vertical="top"/>
    </xf>
    <xf numFmtId="0" fontId="2" fillId="0" borderId="0" xfId="0" applyFont="1" applyFill="1" applyBorder="1" applyAlignment="1" applyProtection="1">
      <alignment horizontal="justify" vertical="top"/>
    </xf>
    <xf numFmtId="4" fontId="4" fillId="0" borderId="0" xfId="0" applyNumberFormat="1" applyFont="1" applyFill="1" applyAlignment="1" applyProtection="1">
      <alignment horizontal="justify" vertical="top"/>
    </xf>
    <xf numFmtId="4" fontId="4" fillId="0" borderId="0" xfId="0" applyNumberFormat="1" applyFont="1" applyFill="1" applyBorder="1" applyAlignment="1" applyProtection="1">
      <alignment horizontal="justify" vertical="top"/>
    </xf>
    <xf numFmtId="0" fontId="4" fillId="0" borderId="0" xfId="0" applyFont="1" applyFill="1" applyAlignment="1" applyProtection="1">
      <alignment horizontal="justify" vertical="top"/>
    </xf>
    <xf numFmtId="4" fontId="4" fillId="0" borderId="0" xfId="0" applyNumberFormat="1" applyFont="1" applyAlignment="1">
      <alignment horizontal="justify" vertical="top" wrapText="1"/>
    </xf>
    <xf numFmtId="0" fontId="54" fillId="0" borderId="0" xfId="0" applyFont="1" applyAlignment="1">
      <alignment horizontal="center"/>
    </xf>
    <xf numFmtId="4" fontId="54" fillId="0" borderId="0" xfId="0" applyNumberFormat="1" applyFont="1" applyAlignment="1">
      <alignment horizontal="right"/>
    </xf>
    <xf numFmtId="4" fontId="31" fillId="0" borderId="0" xfId="0" applyNumberFormat="1" applyFont="1" applyAlignment="1">
      <alignment horizontal="justify" vertical="top" wrapText="1"/>
    </xf>
    <xf numFmtId="0" fontId="54" fillId="0" borderId="0" xfId="12" applyFont="1" applyFill="1" applyBorder="1" applyAlignment="1" applyProtection="1">
      <alignment horizontal="center"/>
    </xf>
    <xf numFmtId="4" fontId="54" fillId="0" borderId="0" xfId="12" applyNumberFormat="1" applyFont="1" applyFill="1" applyBorder="1" applyAlignment="1" applyProtection="1">
      <alignment horizontal="right"/>
    </xf>
    <xf numFmtId="0" fontId="2" fillId="0" borderId="0" xfId="12" applyFont="1" applyFill="1" applyAlignment="1" applyProtection="1">
      <alignment horizontal="justify" vertical="top"/>
    </xf>
    <xf numFmtId="0" fontId="4" fillId="0" borderId="0" xfId="48" applyAlignment="1">
      <alignment horizontal="justify" vertical="distributed"/>
    </xf>
    <xf numFmtId="0" fontId="2" fillId="0" borderId="0" xfId="0" applyFont="1" applyAlignment="1">
      <alignment horizontal="justify" vertical="center"/>
    </xf>
    <xf numFmtId="0" fontId="4" fillId="0" borderId="0" xfId="0" applyFont="1" applyAlignment="1">
      <alignment horizontal="justify" vertical="top" wrapText="1"/>
    </xf>
    <xf numFmtId="0" fontId="51" fillId="0" borderId="0" xfId="0" applyFont="1" applyAlignment="1">
      <alignment horizontal="center"/>
    </xf>
    <xf numFmtId="2" fontId="54" fillId="0" borderId="0" xfId="0" applyNumberFormat="1" applyFont="1" applyAlignment="1">
      <alignment horizontal="right"/>
    </xf>
    <xf numFmtId="4" fontId="51" fillId="0" borderId="0" xfId="0" applyNumberFormat="1" applyFont="1" applyAlignment="1">
      <alignment horizontal="right"/>
    </xf>
    <xf numFmtId="173" fontId="66" fillId="0" borderId="0" xfId="0" applyNumberFormat="1" applyFont="1"/>
    <xf numFmtId="173" fontId="65" fillId="0" borderId="19" xfId="0" applyNumberFormat="1" applyFont="1" applyFill="1" applyBorder="1" applyAlignment="1" applyProtection="1">
      <alignment horizontal="right"/>
    </xf>
    <xf numFmtId="2" fontId="51" fillId="0" borderId="0" xfId="0" applyNumberFormat="1" applyFont="1" applyFill="1" applyAlignment="1">
      <alignment horizontal="center" vertical="top"/>
    </xf>
    <xf numFmtId="0" fontId="54" fillId="0" borderId="0" xfId="0" applyFont="1" applyFill="1" applyBorder="1" applyAlignment="1" applyProtection="1">
      <alignment horizontal="center" vertical="top"/>
    </xf>
    <xf numFmtId="0" fontId="50" fillId="0" borderId="0" xfId="0" applyFont="1" applyFill="1" applyBorder="1" applyAlignment="1" applyProtection="1">
      <alignment horizontal="center" vertical="top"/>
    </xf>
    <xf numFmtId="0" fontId="50" fillId="0" borderId="19" xfId="0" applyFont="1" applyFill="1" applyBorder="1" applyAlignment="1" applyProtection="1">
      <alignment horizontal="center" vertical="top"/>
    </xf>
    <xf numFmtId="0" fontId="42" fillId="0" borderId="0" xfId="21" applyFont="1" applyAlignment="1">
      <alignment horizontal="left"/>
    </xf>
    <xf numFmtId="0" fontId="4" fillId="0" borderId="0" xfId="21"/>
    <xf numFmtId="0" fontId="32" fillId="0" borderId="0" xfId="21" applyFont="1" applyAlignment="1">
      <alignment vertical="top" wrapText="1"/>
    </xf>
    <xf numFmtId="0" fontId="33" fillId="0" borderId="0" xfId="21" applyFont="1"/>
    <xf numFmtId="0" fontId="33" fillId="0" borderId="0" xfId="21" applyFont="1" applyAlignment="1">
      <alignment horizontal="left"/>
    </xf>
    <xf numFmtId="180" fontId="33" fillId="0" borderId="0" xfId="21" applyNumberFormat="1" applyFont="1" applyAlignment="1">
      <alignment horizontal="right"/>
    </xf>
    <xf numFmtId="0" fontId="4" fillId="0" borderId="0" xfId="21" applyAlignment="1">
      <alignment horizontal="right"/>
    </xf>
    <xf numFmtId="49" fontId="33" fillId="0" borderId="0" xfId="21" applyNumberFormat="1" applyFont="1"/>
    <xf numFmtId="49" fontId="33" fillId="0" borderId="23" xfId="21" applyNumberFormat="1" applyFont="1" applyBorder="1"/>
    <xf numFmtId="180" fontId="33" fillId="0" borderId="23" xfId="21" applyNumberFormat="1" applyFont="1" applyBorder="1" applyAlignment="1">
      <alignment horizontal="right"/>
    </xf>
    <xf numFmtId="180" fontId="32" fillId="0" borderId="0" xfId="21" applyNumberFormat="1" applyFont="1" applyAlignment="1">
      <alignment horizontal="right"/>
    </xf>
    <xf numFmtId="4" fontId="6" fillId="0" borderId="0" xfId="36" applyNumberFormat="1" applyFont="1" applyAlignment="1">
      <alignment horizontal="left" vertical="top" wrapText="1"/>
    </xf>
    <xf numFmtId="170" fontId="6" fillId="0" borderId="0" xfId="37" applyNumberFormat="1" applyFont="1" applyAlignment="1">
      <alignment horizontal="left" vertical="top" wrapText="1"/>
    </xf>
    <xf numFmtId="170" fontId="6" fillId="0" borderId="0" xfId="37" applyNumberFormat="1" applyFont="1" applyAlignment="1">
      <alignment horizontal="left" vertical="center"/>
    </xf>
    <xf numFmtId="0" fontId="32" fillId="0" borderId="0" xfId="21" applyFont="1" applyAlignment="1">
      <alignment horizontal="left"/>
    </xf>
    <xf numFmtId="0" fontId="42" fillId="0" borderId="0" xfId="21" applyFont="1" applyAlignment="1">
      <alignment horizontal="left"/>
    </xf>
    <xf numFmtId="0" fontId="33" fillId="0" borderId="23" xfId="21" applyFont="1" applyBorder="1" applyAlignment="1">
      <alignment horizontal="left"/>
    </xf>
    <xf numFmtId="0" fontId="67" fillId="0" borderId="0" xfId="21" applyFont="1" applyAlignment="1">
      <alignment horizontal="left"/>
    </xf>
    <xf numFmtId="0" fontId="32" fillId="0" borderId="0" xfId="21" applyFont="1" applyAlignment="1">
      <alignment horizontal="left" vertical="top" wrapText="1"/>
    </xf>
    <xf numFmtId="0" fontId="32" fillId="0" borderId="0" xfId="21" applyFont="1" applyAlignment="1">
      <alignment horizontal="left" wrapText="1"/>
    </xf>
    <xf numFmtId="0" fontId="33" fillId="0" borderId="0" xfId="21" applyFont="1" applyAlignment="1">
      <alignment horizontal="left"/>
    </xf>
    <xf numFmtId="2" fontId="4" fillId="0" borderId="0" xfId="10" applyAlignment="1" applyProtection="1">
      <alignment horizontal="left" vertical="top" wrapText="1"/>
    </xf>
    <xf numFmtId="1" fontId="32" fillId="0" borderId="18" xfId="0" applyNumberFormat="1" applyFont="1" applyFill="1" applyBorder="1" applyAlignment="1">
      <alignment horizontal="center"/>
    </xf>
    <xf numFmtId="1" fontId="3" fillId="0" borderId="12" xfId="0" applyNumberFormat="1" applyFont="1" applyFill="1" applyBorder="1" applyAlignment="1">
      <alignment horizontal="center"/>
    </xf>
    <xf numFmtId="4" fontId="41" fillId="0" borderId="0" xfId="0" applyNumberFormat="1" applyFont="1" applyBorder="1" applyAlignment="1">
      <alignment horizontal="center" vertical="justify"/>
    </xf>
    <xf numFmtId="4" fontId="33" fillId="0" borderId="5" xfId="0" applyNumberFormat="1" applyFont="1" applyBorder="1" applyAlignment="1">
      <alignment horizontal="right" vertical="justify"/>
    </xf>
    <xf numFmtId="4" fontId="42" fillId="0" borderId="20" xfId="0" applyNumberFormat="1" applyFont="1" applyBorder="1" applyAlignment="1">
      <alignment horizontal="right" vertical="justify"/>
    </xf>
    <xf numFmtId="4" fontId="42" fillId="0" borderId="21" xfId="0" applyNumberFormat="1" applyFont="1" applyBorder="1" applyAlignment="1">
      <alignment horizontal="right" vertical="justify"/>
    </xf>
  </cellXfs>
  <cellStyles count="49">
    <cellStyle name="Comma [0]" xfId="1" xr:uid="{00000000-0005-0000-0000-000000000000}"/>
    <cellStyle name="Comma0" xfId="2" xr:uid="{00000000-0005-0000-0000-000001000000}"/>
    <cellStyle name="Currency [0]" xfId="3" xr:uid="{00000000-0005-0000-0000-000002000000}"/>
    <cellStyle name="Currency0" xfId="4" xr:uid="{00000000-0005-0000-0000-000003000000}"/>
    <cellStyle name="Date" xfId="5" xr:uid="{00000000-0005-0000-0000-000004000000}"/>
    <cellStyle name="Excel Built-in Currency" xfId="46" xr:uid="{FBFB4A40-D22B-47C3-BB43-BFAC3DFF03A9}"/>
    <cellStyle name="Excel Built-in Normal" xfId="6" xr:uid="{00000000-0005-0000-0000-000005000000}"/>
    <cellStyle name="Fixed" xfId="7" xr:uid="{00000000-0005-0000-0000-000006000000}"/>
    <cellStyle name="Heading 1" xfId="8" xr:uid="{00000000-0005-0000-0000-000007000000}"/>
    <cellStyle name="Heading 2" xfId="9" xr:uid="{00000000-0005-0000-0000-000008000000}"/>
    <cellStyle name="LASTEN" xfId="10" xr:uid="{00000000-0005-0000-0000-000009000000}"/>
    <cellStyle name="naslov2" xfId="11" xr:uid="{00000000-0005-0000-0000-00000A000000}"/>
    <cellStyle name="Navadno" xfId="0" builtinId="0"/>
    <cellStyle name="Navadno 10" xfId="12" xr:uid="{00000000-0005-0000-0000-00000C000000}"/>
    <cellStyle name="Navadno 10 2" xfId="13" xr:uid="{00000000-0005-0000-0000-00000D000000}"/>
    <cellStyle name="Navadno 11" xfId="14" xr:uid="{00000000-0005-0000-0000-00000E000000}"/>
    <cellStyle name="Navadno 12" xfId="15" xr:uid="{00000000-0005-0000-0000-00000F000000}"/>
    <cellStyle name="Navadno 13" xfId="16" xr:uid="{00000000-0005-0000-0000-000010000000}"/>
    <cellStyle name="Navadno 14" xfId="17" xr:uid="{00000000-0005-0000-0000-000011000000}"/>
    <cellStyle name="Navadno 15" xfId="18" xr:uid="{00000000-0005-0000-0000-000012000000}"/>
    <cellStyle name="Navadno 16" xfId="19" xr:uid="{00000000-0005-0000-0000-000013000000}"/>
    <cellStyle name="Navadno 17" xfId="20" xr:uid="{00000000-0005-0000-0000-000014000000}"/>
    <cellStyle name="Navadno 2" xfId="21" xr:uid="{00000000-0005-0000-0000-000015000000}"/>
    <cellStyle name="Navadno 2 2" xfId="22" xr:uid="{00000000-0005-0000-0000-000016000000}"/>
    <cellStyle name="Navadno 22" xfId="23" xr:uid="{00000000-0005-0000-0000-000017000000}"/>
    <cellStyle name="Navadno 23" xfId="24" xr:uid="{00000000-0005-0000-0000-000018000000}"/>
    <cellStyle name="Navadno 24" xfId="25" xr:uid="{00000000-0005-0000-0000-000019000000}"/>
    <cellStyle name="Navadno 26" xfId="26" xr:uid="{00000000-0005-0000-0000-00001A000000}"/>
    <cellStyle name="Navadno 3" xfId="27" xr:uid="{00000000-0005-0000-0000-00001B000000}"/>
    <cellStyle name="Navadno 31" xfId="28" xr:uid="{00000000-0005-0000-0000-00001C000000}"/>
    <cellStyle name="Navadno 4" xfId="29" xr:uid="{00000000-0005-0000-0000-00001D000000}"/>
    <cellStyle name="Navadno 4 10" xfId="30" xr:uid="{00000000-0005-0000-0000-00001E000000}"/>
    <cellStyle name="Navadno 5" xfId="31" xr:uid="{00000000-0005-0000-0000-00001F000000}"/>
    <cellStyle name="Navadno 6" xfId="32" xr:uid="{00000000-0005-0000-0000-000020000000}"/>
    <cellStyle name="Navadno 7" xfId="33" xr:uid="{00000000-0005-0000-0000-000021000000}"/>
    <cellStyle name="Navadno 8" xfId="34" xr:uid="{00000000-0005-0000-0000-000022000000}"/>
    <cellStyle name="Navadno 9" xfId="35" xr:uid="{00000000-0005-0000-0000-000023000000}"/>
    <cellStyle name="Navadno_Jerancic_POPIS_KANALIZACIJA" xfId="36" xr:uid="{00000000-0005-0000-0000-000024000000}"/>
    <cellStyle name="Navadno_Jerancic_POPIS_KANALIZACIJA 2" xfId="37" xr:uid="{00000000-0005-0000-0000-000025000000}"/>
    <cellStyle name="Normal_I-BREZOV" xfId="38" xr:uid="{00000000-0005-0000-0000-000027000000}"/>
    <cellStyle name="Normal_I-BREZOV 2" xfId="48" xr:uid="{57536284-BB44-4375-BDEC-EBCA0C309808}"/>
    <cellStyle name="Odstotek 2" xfId="39" xr:uid="{00000000-0005-0000-0000-000028000000}"/>
    <cellStyle name="Total" xfId="40" xr:uid="{00000000-0005-0000-0000-000029000000}"/>
    <cellStyle name="Valuta" xfId="47" builtinId="4"/>
    <cellStyle name="Valuta 2" xfId="41" xr:uid="{00000000-0005-0000-0000-00002A000000}"/>
    <cellStyle name="Vejica 2" xfId="42" xr:uid="{00000000-0005-0000-0000-00002C000000}"/>
    <cellStyle name="Vejica 2 2" xfId="43" xr:uid="{00000000-0005-0000-0000-00002D000000}"/>
    <cellStyle name="Vejica 3" xfId="44" xr:uid="{00000000-0005-0000-0000-00002E000000}"/>
    <cellStyle name="Vejica 5" xfId="45" xr:uid="{588E3753-B432-4BAD-B67F-E7830A09409D}"/>
  </cellStyles>
  <dxfs count="26">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14"/>
  <sheetViews>
    <sheetView view="pageBreakPreview" zoomScale="60" zoomScaleNormal="100" workbookViewId="0">
      <selection activeCell="E24" sqref="E24"/>
    </sheetView>
  </sheetViews>
  <sheetFormatPr defaultColWidth="8.6640625" defaultRowHeight="15.75"/>
  <cols>
    <col min="1" max="1" width="6.5546875" style="43" customWidth="1"/>
    <col min="2" max="2" width="27.44140625" style="53" customWidth="1"/>
    <col min="3" max="3" width="7.44140625" style="41" customWidth="1"/>
    <col min="4" max="4" width="1.109375" style="41" customWidth="1"/>
    <col min="5" max="5" width="11.109375" style="107" customWidth="1"/>
    <col min="6" max="6" width="3.44140625" style="41" customWidth="1"/>
    <col min="7" max="7" width="14" style="97" customWidth="1"/>
    <col min="8" max="8" width="3.6640625" style="38" customWidth="1"/>
    <col min="9" max="9" width="14.88671875" style="36" customWidth="1"/>
    <col min="10" max="10" width="8.6640625" style="37" customWidth="1"/>
    <col min="11" max="11" width="25.5546875" style="38" customWidth="1"/>
    <col min="12" max="12" width="15.5546875" style="38" customWidth="1"/>
    <col min="13" max="15" width="8.6640625" style="39" customWidth="1"/>
    <col min="16" max="16" width="8.6640625" style="38" customWidth="1"/>
    <col min="17" max="17" width="11.109375" style="82" customWidth="1"/>
    <col min="18" max="16384" width="8.6640625" style="38"/>
  </cols>
  <sheetData>
    <row r="1" spans="1:17" s="79" customFormat="1" ht="15.95" customHeight="1">
      <c r="A1" s="34"/>
      <c r="B1" s="35" t="s">
        <v>11</v>
      </c>
      <c r="C1" s="1" t="s">
        <v>123</v>
      </c>
      <c r="D1" s="33"/>
      <c r="E1" s="33"/>
      <c r="F1" s="2"/>
      <c r="G1" s="96"/>
      <c r="H1" s="78"/>
      <c r="Q1" s="90"/>
    </row>
    <row r="2" spans="1:17" s="79" customFormat="1" ht="15.95" customHeight="1">
      <c r="A2" s="34"/>
      <c r="B2" s="35"/>
      <c r="C2" s="1" t="s">
        <v>124</v>
      </c>
      <c r="D2" s="33"/>
      <c r="E2" s="33"/>
      <c r="F2" s="2"/>
      <c r="G2" s="96"/>
      <c r="H2" s="78"/>
      <c r="Q2" s="90"/>
    </row>
    <row r="3" spans="1:17" s="79" customFormat="1" ht="15.95" customHeight="1">
      <c r="A3" s="34"/>
      <c r="B3" s="35" t="s">
        <v>8</v>
      </c>
      <c r="C3" s="40" t="s">
        <v>174</v>
      </c>
      <c r="D3" s="33"/>
      <c r="E3" s="106"/>
      <c r="F3" s="2"/>
      <c r="G3" s="96"/>
      <c r="H3" s="78"/>
      <c r="Q3" s="90"/>
    </row>
    <row r="4" spans="1:17" s="79" customFormat="1">
      <c r="A4" s="34"/>
      <c r="B4" s="35" t="s">
        <v>12</v>
      </c>
      <c r="C4" s="40" t="s">
        <v>175</v>
      </c>
      <c r="D4" s="41"/>
      <c r="E4" s="107"/>
      <c r="F4" s="41"/>
      <c r="G4" s="97"/>
      <c r="Q4" s="82"/>
    </row>
    <row r="5" spans="1:17" s="79" customFormat="1">
      <c r="A5" s="34"/>
      <c r="B5" s="35" t="s">
        <v>13</v>
      </c>
      <c r="C5" s="1" t="s">
        <v>172</v>
      </c>
      <c r="D5" s="33"/>
      <c r="E5" s="106"/>
      <c r="F5" s="2"/>
      <c r="G5" s="97"/>
      <c r="Q5" s="90"/>
    </row>
    <row r="6" spans="1:17">
      <c r="A6" s="34"/>
      <c r="B6" s="35"/>
      <c r="C6" s="42" t="s">
        <v>173</v>
      </c>
    </row>
    <row r="7" spans="1:17">
      <c r="A7" s="34"/>
      <c r="B7" s="35"/>
      <c r="C7" s="42"/>
    </row>
    <row r="9" spans="1:17" ht="18">
      <c r="A9" s="43" t="s">
        <v>14</v>
      </c>
      <c r="B9" s="44" t="s">
        <v>52</v>
      </c>
      <c r="C9" s="45"/>
      <c r="D9" s="45"/>
      <c r="E9" s="108"/>
      <c r="F9" s="45"/>
      <c r="G9" s="98"/>
      <c r="Q9" s="83"/>
    </row>
    <row r="10" spans="1:17">
      <c r="B10" s="45"/>
      <c r="C10" s="45"/>
      <c r="D10" s="45"/>
      <c r="E10" s="108"/>
      <c r="F10" s="45"/>
      <c r="G10" s="98"/>
      <c r="Q10" s="83"/>
    </row>
    <row r="12" spans="1:17" s="7" customFormat="1">
      <c r="A12" s="8" t="s">
        <v>15</v>
      </c>
      <c r="B12" s="9" t="s">
        <v>16</v>
      </c>
      <c r="C12" s="46"/>
      <c r="E12" s="109"/>
      <c r="G12" s="99"/>
      <c r="I12" s="26"/>
      <c r="J12" s="22"/>
      <c r="M12" s="30"/>
      <c r="N12" s="30"/>
      <c r="O12" s="30"/>
      <c r="Q12" s="91"/>
    </row>
    <row r="13" spans="1:17" s="7" customFormat="1">
      <c r="A13" s="8"/>
      <c r="B13" s="9"/>
      <c r="C13" s="46"/>
      <c r="E13" s="109"/>
      <c r="G13" s="99"/>
      <c r="I13" s="26"/>
      <c r="J13" s="22"/>
      <c r="M13" s="30"/>
      <c r="N13" s="30"/>
      <c r="O13" s="30"/>
      <c r="Q13" s="91"/>
    </row>
    <row r="14" spans="1:17" s="7" customFormat="1">
      <c r="A14" s="47" t="s">
        <v>27</v>
      </c>
      <c r="B14" s="48" t="s">
        <v>26</v>
      </c>
      <c r="C14" s="49"/>
      <c r="D14" s="49"/>
      <c r="E14" s="110"/>
      <c r="F14" s="49"/>
      <c r="G14" s="209"/>
      <c r="H14" s="80"/>
      <c r="I14" s="26"/>
      <c r="J14" s="22"/>
      <c r="K14" s="119"/>
      <c r="M14" s="30"/>
      <c r="N14" s="30"/>
      <c r="O14" s="30"/>
      <c r="Q14" s="84"/>
    </row>
    <row r="15" spans="1:17">
      <c r="A15" s="47" t="s">
        <v>32</v>
      </c>
      <c r="B15" s="48" t="s">
        <v>17</v>
      </c>
      <c r="C15" s="49"/>
      <c r="D15" s="49"/>
      <c r="E15" s="110"/>
      <c r="F15" s="49"/>
      <c r="G15" s="209"/>
      <c r="H15" s="80"/>
      <c r="K15" s="116"/>
      <c r="Q15" s="84"/>
    </row>
    <row r="16" spans="1:17">
      <c r="A16" s="47" t="s">
        <v>42</v>
      </c>
      <c r="B16" s="48" t="s">
        <v>18</v>
      </c>
      <c r="C16" s="49"/>
      <c r="D16" s="49"/>
      <c r="E16" s="110"/>
      <c r="F16" s="49"/>
      <c r="G16" s="209"/>
      <c r="H16" s="80"/>
      <c r="K16" s="116"/>
      <c r="Q16" s="84"/>
    </row>
    <row r="17" spans="1:17">
      <c r="A17" s="47"/>
      <c r="B17" s="48"/>
      <c r="C17" s="49"/>
      <c r="D17" s="49"/>
      <c r="E17" s="110"/>
      <c r="F17" s="49"/>
      <c r="G17" s="100"/>
      <c r="K17" s="116"/>
      <c r="Q17" s="84"/>
    </row>
    <row r="18" spans="1:17" ht="16.5" thickBot="1">
      <c r="A18" s="47"/>
      <c r="B18" s="50" t="s">
        <v>53</v>
      </c>
      <c r="C18" s="51"/>
      <c r="D18" s="51"/>
      <c r="E18" s="111"/>
      <c r="F18" s="51"/>
      <c r="G18" s="210"/>
      <c r="H18" s="80"/>
      <c r="K18" s="117"/>
      <c r="Q18" s="85"/>
    </row>
    <row r="22" spans="1:17" ht="15.95" customHeight="1">
      <c r="B22" s="53" t="s">
        <v>81</v>
      </c>
      <c r="E22" s="458" t="s">
        <v>169</v>
      </c>
      <c r="F22" s="458"/>
      <c r="G22" s="458"/>
    </row>
    <row r="23" spans="1:17" ht="84.75" customHeight="1">
      <c r="B23" s="53" t="s">
        <v>84</v>
      </c>
      <c r="E23" s="458" t="s">
        <v>241</v>
      </c>
      <c r="F23" s="458"/>
      <c r="G23" s="458"/>
    </row>
    <row r="25" spans="1:17">
      <c r="B25" s="53" t="s">
        <v>82</v>
      </c>
    </row>
    <row r="26" spans="1:17" ht="63.75">
      <c r="B26" s="53" t="s">
        <v>83</v>
      </c>
    </row>
    <row r="28" spans="1:17">
      <c r="B28" s="53" t="s">
        <v>143</v>
      </c>
      <c r="K28" s="53"/>
    </row>
    <row r="29" spans="1:17" ht="114.75">
      <c r="B29" s="53" t="s">
        <v>180</v>
      </c>
      <c r="K29" s="53"/>
    </row>
    <row r="33" spans="1:17">
      <c r="B33" s="53" t="s">
        <v>166</v>
      </c>
    </row>
    <row r="34" spans="1:17" s="7" customFormat="1">
      <c r="A34" s="43"/>
      <c r="B34" s="53"/>
      <c r="C34" s="41"/>
      <c r="D34" s="41"/>
      <c r="E34" s="107"/>
      <c r="F34" s="41"/>
      <c r="G34" s="97"/>
      <c r="H34" s="38"/>
      <c r="I34" s="26"/>
      <c r="J34" s="22"/>
      <c r="M34" s="30"/>
      <c r="N34" s="30"/>
      <c r="O34" s="30"/>
      <c r="Q34" s="82"/>
    </row>
    <row r="35" spans="1:17">
      <c r="A35" s="11" t="s">
        <v>19</v>
      </c>
      <c r="B35" s="9" t="s">
        <v>16</v>
      </c>
      <c r="C35" s="46"/>
      <c r="D35" s="7"/>
      <c r="E35" s="109"/>
      <c r="F35" s="7"/>
      <c r="G35" s="99"/>
      <c r="H35" s="7"/>
      <c r="Q35" s="91"/>
    </row>
    <row r="36" spans="1:17" s="7" customFormat="1">
      <c r="A36" s="43"/>
      <c r="B36" s="55"/>
      <c r="C36" s="56"/>
      <c r="D36" s="56"/>
      <c r="E36" s="112"/>
      <c r="F36" s="56"/>
      <c r="G36" s="101"/>
      <c r="H36" s="38"/>
      <c r="I36" s="26"/>
      <c r="J36" s="22"/>
      <c r="M36" s="30"/>
      <c r="N36" s="30"/>
      <c r="O36" s="30"/>
      <c r="Q36" s="86"/>
    </row>
    <row r="37" spans="1:17" s="7" customFormat="1">
      <c r="A37" s="11" t="s">
        <v>27</v>
      </c>
      <c r="B37" s="9" t="s">
        <v>26</v>
      </c>
      <c r="C37" s="46"/>
      <c r="E37" s="109"/>
      <c r="G37" s="99"/>
      <c r="I37" s="26"/>
      <c r="J37" s="22"/>
      <c r="M37" s="30"/>
      <c r="N37" s="30"/>
      <c r="O37" s="30"/>
      <c r="Q37" s="91"/>
    </row>
    <row r="38" spans="1:17" s="7" customFormat="1">
      <c r="A38" s="8"/>
      <c r="B38" s="9"/>
      <c r="C38" s="207" t="s">
        <v>170</v>
      </c>
      <c r="D38" s="203"/>
      <c r="E38" s="208" t="s">
        <v>171</v>
      </c>
      <c r="F38" s="203"/>
      <c r="G38" s="208" t="s">
        <v>164</v>
      </c>
      <c r="I38" s="26"/>
      <c r="J38" s="22"/>
      <c r="M38" s="30"/>
      <c r="N38" s="30"/>
      <c r="O38" s="30"/>
      <c r="Q38" s="91"/>
    </row>
    <row r="39" spans="1:17" s="17" customFormat="1" ht="39">
      <c r="A39" s="12" t="s">
        <v>28</v>
      </c>
      <c r="B39" s="13" t="s">
        <v>139</v>
      </c>
      <c r="C39" s="46"/>
      <c r="D39" s="7"/>
      <c r="E39" s="109"/>
      <c r="F39" s="7"/>
      <c r="G39" s="99"/>
      <c r="H39" s="7"/>
      <c r="I39" s="27"/>
      <c r="J39" s="23"/>
      <c r="M39" s="31"/>
      <c r="N39" s="31"/>
      <c r="O39" s="31"/>
      <c r="Q39" s="91"/>
    </row>
    <row r="40" spans="1:17" s="7" customFormat="1">
      <c r="A40" s="18"/>
      <c r="B40" s="13"/>
      <c r="C40" s="57"/>
      <c r="D40" s="17"/>
      <c r="E40" s="113"/>
      <c r="F40" s="17"/>
      <c r="G40" s="102"/>
      <c r="H40" s="17"/>
      <c r="I40" s="26"/>
      <c r="J40" s="22"/>
      <c r="M40" s="30"/>
      <c r="N40" s="30"/>
      <c r="O40" s="30"/>
      <c r="Q40" s="92"/>
    </row>
    <row r="41" spans="1:17" s="7" customFormat="1">
      <c r="A41" s="8"/>
      <c r="B41" s="52" t="s">
        <v>22</v>
      </c>
      <c r="C41" s="214">
        <v>412</v>
      </c>
      <c r="D41" s="41"/>
      <c r="E41" s="230"/>
      <c r="F41" s="81"/>
      <c r="G41" s="213"/>
      <c r="H41" s="81"/>
      <c r="I41" s="26"/>
      <c r="J41" s="22"/>
      <c r="M41" s="30"/>
      <c r="N41" s="30"/>
      <c r="O41" s="30"/>
      <c r="Q41" s="82"/>
    </row>
    <row r="42" spans="1:17" s="7" customFormat="1">
      <c r="A42" s="8"/>
      <c r="B42" s="14"/>
      <c r="C42" s="46"/>
      <c r="E42" s="231"/>
      <c r="G42" s="99"/>
      <c r="I42" s="26"/>
      <c r="J42" s="22"/>
      <c r="M42" s="30"/>
      <c r="N42" s="30"/>
      <c r="O42" s="30"/>
      <c r="Q42" s="91"/>
    </row>
    <row r="43" spans="1:17" s="19" customFormat="1" ht="76.5">
      <c r="A43" s="12" t="s">
        <v>30</v>
      </c>
      <c r="B43" s="127" t="s">
        <v>140</v>
      </c>
      <c r="C43" s="46"/>
      <c r="D43" s="7"/>
      <c r="E43" s="231"/>
      <c r="F43" s="7"/>
      <c r="G43" s="99"/>
      <c r="H43" s="7"/>
      <c r="I43" s="28"/>
      <c r="J43" s="24"/>
      <c r="K43" s="52"/>
      <c r="M43" s="32"/>
      <c r="N43" s="32"/>
      <c r="O43" s="32"/>
      <c r="Q43" s="91"/>
    </row>
    <row r="44" spans="1:17" s="7" customFormat="1">
      <c r="A44" s="20"/>
      <c r="B44" s="52"/>
      <c r="C44" s="58"/>
      <c r="D44" s="19"/>
      <c r="E44" s="231"/>
      <c r="F44" s="19"/>
      <c r="G44" s="103"/>
      <c r="H44" s="19"/>
      <c r="I44" s="26"/>
      <c r="J44" s="22"/>
      <c r="M44" s="30"/>
      <c r="N44" s="30"/>
      <c r="O44" s="30"/>
      <c r="Q44" s="93"/>
    </row>
    <row r="45" spans="1:17" s="7" customFormat="1">
      <c r="A45" s="8"/>
      <c r="B45" s="52" t="s">
        <v>55</v>
      </c>
      <c r="C45" s="214">
        <v>1</v>
      </c>
      <c r="D45" s="41"/>
      <c r="E45" s="232"/>
      <c r="F45" s="81"/>
      <c r="G45" s="213"/>
      <c r="H45" s="81"/>
      <c r="I45" s="26"/>
      <c r="J45" s="22"/>
      <c r="M45" s="30"/>
      <c r="N45" s="30"/>
      <c r="O45" s="30"/>
      <c r="Q45" s="82"/>
    </row>
    <row r="46" spans="1:17" s="7" customFormat="1">
      <c r="A46" s="8"/>
      <c r="B46" s="52"/>
      <c r="C46" s="41"/>
      <c r="D46" s="41"/>
      <c r="E46" s="231"/>
      <c r="F46" s="41"/>
      <c r="G46" s="97"/>
      <c r="H46" s="41"/>
      <c r="I46" s="26"/>
      <c r="J46" s="22"/>
      <c r="M46" s="30"/>
      <c r="N46" s="30"/>
      <c r="O46" s="30"/>
      <c r="Q46" s="82"/>
    </row>
    <row r="47" spans="1:17" s="19" customFormat="1" ht="57.75" customHeight="1">
      <c r="A47" s="12" t="s">
        <v>56</v>
      </c>
      <c r="B47" s="52" t="s">
        <v>68</v>
      </c>
      <c r="C47" s="41"/>
      <c r="D47" s="41"/>
      <c r="E47" s="231"/>
      <c r="F47" s="41"/>
      <c r="G47" s="97"/>
      <c r="H47" s="7"/>
      <c r="I47" s="28"/>
      <c r="J47" s="24"/>
      <c r="M47" s="32"/>
      <c r="N47" s="32"/>
      <c r="O47" s="32"/>
      <c r="Q47" s="82"/>
    </row>
    <row r="48" spans="1:17" s="7" customFormat="1">
      <c r="A48" s="20"/>
      <c r="B48" s="52"/>
      <c r="C48" s="59"/>
      <c r="D48" s="59"/>
      <c r="E48" s="231"/>
      <c r="F48" s="59"/>
      <c r="G48" s="104"/>
      <c r="H48" s="19"/>
      <c r="I48" s="26"/>
      <c r="J48" s="22"/>
      <c r="M48" s="30"/>
      <c r="N48" s="30"/>
      <c r="O48" s="30"/>
      <c r="Q48" s="87"/>
    </row>
    <row r="49" spans="1:17" s="7" customFormat="1">
      <c r="A49" s="8"/>
      <c r="B49" s="52" t="s">
        <v>23</v>
      </c>
      <c r="C49" s="214">
        <f>INT(C41/20)+1</f>
        <v>21</v>
      </c>
      <c r="D49" s="41"/>
      <c r="E49" s="232"/>
      <c r="F49" s="81"/>
      <c r="G49" s="213"/>
      <c r="H49" s="81"/>
      <c r="I49" s="26"/>
      <c r="J49" s="22"/>
      <c r="M49" s="30"/>
      <c r="N49" s="30"/>
      <c r="O49" s="30"/>
      <c r="Q49" s="82"/>
    </row>
    <row r="50" spans="1:17" s="7" customFormat="1">
      <c r="A50" s="8"/>
      <c r="B50" s="52"/>
      <c r="C50" s="41"/>
      <c r="D50" s="41"/>
      <c r="E50" s="231"/>
      <c r="F50" s="41"/>
      <c r="G50" s="97"/>
      <c r="H50" s="41"/>
      <c r="I50" s="26"/>
      <c r="J50" s="22"/>
      <c r="M50" s="30"/>
      <c r="N50" s="30"/>
      <c r="O50" s="30"/>
      <c r="Q50" s="82"/>
    </row>
    <row r="51" spans="1:17" s="7" customFormat="1" ht="38.25">
      <c r="A51" s="12" t="s">
        <v>5</v>
      </c>
      <c r="B51" s="52" t="s">
        <v>6</v>
      </c>
      <c r="C51" s="41"/>
      <c r="D51" s="41"/>
      <c r="E51" s="231"/>
      <c r="F51" s="41"/>
      <c r="G51" s="97"/>
      <c r="I51" s="26"/>
      <c r="J51" s="22"/>
      <c r="M51" s="30"/>
      <c r="N51" s="30"/>
      <c r="O51" s="30"/>
      <c r="Q51" s="82"/>
    </row>
    <row r="52" spans="1:17" s="7" customFormat="1">
      <c r="A52" s="20"/>
      <c r="B52" s="52"/>
      <c r="C52" s="59"/>
      <c r="D52" s="59"/>
      <c r="E52" s="233"/>
      <c r="F52" s="59"/>
      <c r="G52" s="104"/>
      <c r="H52" s="19"/>
      <c r="I52" s="26"/>
      <c r="J52" s="22"/>
      <c r="M52" s="30"/>
      <c r="N52" s="30"/>
      <c r="O52" s="30"/>
      <c r="Q52" s="87"/>
    </row>
    <row r="53" spans="1:17" s="7" customFormat="1">
      <c r="A53" s="8"/>
      <c r="B53" s="52" t="s">
        <v>29</v>
      </c>
      <c r="C53" s="214">
        <v>1</v>
      </c>
      <c r="D53" s="41"/>
      <c r="E53" s="232"/>
      <c r="F53" s="81"/>
      <c r="G53" s="213"/>
      <c r="H53" s="81"/>
      <c r="I53" s="26"/>
      <c r="J53" s="22"/>
      <c r="M53" s="30"/>
      <c r="N53" s="30"/>
      <c r="O53" s="30"/>
      <c r="Q53" s="82"/>
    </row>
    <row r="54" spans="1:17" s="7" customFormat="1">
      <c r="A54" s="8"/>
      <c r="B54" s="52"/>
      <c r="C54" s="41"/>
      <c r="D54" s="41"/>
      <c r="E54" s="231"/>
      <c r="F54" s="41"/>
      <c r="G54" s="97"/>
      <c r="H54" s="41"/>
      <c r="I54" s="26"/>
      <c r="J54" s="22"/>
      <c r="M54" s="30"/>
      <c r="N54" s="30"/>
      <c r="O54" s="30"/>
      <c r="Q54" s="82"/>
    </row>
    <row r="55" spans="1:17" s="19" customFormat="1" ht="48" customHeight="1">
      <c r="A55" s="12" t="s">
        <v>75</v>
      </c>
      <c r="B55" s="52" t="s">
        <v>136</v>
      </c>
      <c r="C55" s="41"/>
      <c r="D55" s="41"/>
      <c r="E55" s="231"/>
      <c r="F55" s="41"/>
      <c r="G55" s="97"/>
      <c r="H55" s="7"/>
      <c r="I55" s="28"/>
      <c r="J55" s="24"/>
      <c r="M55" s="32"/>
      <c r="N55" s="32"/>
      <c r="O55" s="32"/>
      <c r="Q55" s="82"/>
    </row>
    <row r="56" spans="1:17" s="7" customFormat="1">
      <c r="A56" s="20"/>
      <c r="B56" s="52"/>
      <c r="C56" s="59"/>
      <c r="D56" s="59"/>
      <c r="E56" s="233"/>
      <c r="F56" s="59"/>
      <c r="G56" s="104"/>
      <c r="H56" s="19"/>
      <c r="I56" s="26"/>
      <c r="J56" s="22"/>
      <c r="M56" s="30"/>
      <c r="N56" s="30"/>
      <c r="O56" s="30"/>
      <c r="Q56" s="87"/>
    </row>
    <row r="57" spans="1:17" s="7" customFormat="1">
      <c r="A57" s="8"/>
      <c r="B57" s="52" t="s">
        <v>23</v>
      </c>
      <c r="C57" s="214">
        <v>1</v>
      </c>
      <c r="D57" s="41"/>
      <c r="E57" s="232"/>
      <c r="F57" s="81"/>
      <c r="G57" s="213"/>
      <c r="H57" s="81"/>
      <c r="I57" s="26"/>
      <c r="J57" s="22"/>
      <c r="M57" s="30"/>
      <c r="N57" s="30"/>
      <c r="O57" s="30"/>
      <c r="Q57" s="82"/>
    </row>
    <row r="58" spans="1:17" s="7" customFormat="1">
      <c r="A58" s="8"/>
      <c r="B58" s="52"/>
      <c r="C58" s="41"/>
      <c r="D58" s="41"/>
      <c r="E58" s="231"/>
      <c r="F58" s="81"/>
      <c r="G58" s="97"/>
      <c r="H58" s="81"/>
      <c r="I58" s="26"/>
      <c r="J58" s="22"/>
      <c r="M58" s="30"/>
      <c r="N58" s="30"/>
      <c r="O58" s="30"/>
      <c r="Q58" s="82"/>
    </row>
    <row r="59" spans="1:17" s="19" customFormat="1" ht="34.5" customHeight="1">
      <c r="A59" s="12" t="s">
        <v>137</v>
      </c>
      <c r="B59" s="52" t="s">
        <v>138</v>
      </c>
      <c r="C59" s="41"/>
      <c r="D59" s="41"/>
      <c r="E59" s="231"/>
      <c r="F59" s="41"/>
      <c r="G59" s="97"/>
      <c r="H59" s="7"/>
      <c r="I59" s="28"/>
      <c r="J59" s="24"/>
      <c r="M59" s="32"/>
      <c r="N59" s="32"/>
      <c r="O59" s="32"/>
      <c r="Q59" s="82"/>
    </row>
    <row r="60" spans="1:17" s="7" customFormat="1">
      <c r="A60" s="20"/>
      <c r="B60" s="52"/>
      <c r="C60" s="59"/>
      <c r="D60" s="59"/>
      <c r="E60" s="233"/>
      <c r="F60" s="59"/>
      <c r="G60" s="104"/>
      <c r="H60" s="19"/>
      <c r="I60" s="26"/>
      <c r="J60" s="22"/>
      <c r="M60" s="30"/>
      <c r="N60" s="30"/>
      <c r="O60" s="30"/>
      <c r="Q60" s="87"/>
    </row>
    <row r="61" spans="1:17" s="7" customFormat="1">
      <c r="A61" s="8"/>
      <c r="B61" s="52" t="s">
        <v>71</v>
      </c>
      <c r="C61" s="226">
        <v>412</v>
      </c>
      <c r="D61" s="41"/>
      <c r="E61" s="232"/>
      <c r="F61" s="81"/>
      <c r="G61" s="213"/>
      <c r="H61" s="81"/>
      <c r="I61" s="26"/>
      <c r="J61" s="22"/>
      <c r="M61" s="30"/>
      <c r="N61" s="30"/>
      <c r="O61" s="30"/>
      <c r="Q61" s="82"/>
    </row>
    <row r="62" spans="1:17" s="7" customFormat="1">
      <c r="A62" s="8"/>
      <c r="B62" s="52"/>
      <c r="C62" s="227"/>
      <c r="D62" s="203"/>
      <c r="E62" s="234"/>
      <c r="F62" s="203"/>
      <c r="G62" s="228"/>
      <c r="H62" s="41"/>
      <c r="I62" s="26"/>
      <c r="J62" s="22"/>
      <c r="M62" s="30"/>
      <c r="N62" s="30"/>
      <c r="O62" s="30"/>
      <c r="Q62" s="82"/>
    </row>
    <row r="63" spans="1:17" s="7" customFormat="1" ht="86.25" customHeight="1">
      <c r="A63" s="12" t="s">
        <v>54</v>
      </c>
      <c r="B63" s="52" t="s">
        <v>176</v>
      </c>
      <c r="C63" s="41"/>
      <c r="D63" s="41"/>
      <c r="E63" s="231"/>
      <c r="F63" s="41"/>
      <c r="G63" s="97"/>
      <c r="I63" s="26"/>
      <c r="J63" s="22"/>
      <c r="M63" s="30"/>
      <c r="N63" s="30"/>
      <c r="O63" s="30"/>
      <c r="Q63" s="82"/>
    </row>
    <row r="64" spans="1:17" s="7" customFormat="1" ht="44.25" customHeight="1">
      <c r="A64" s="8"/>
      <c r="B64" s="52" t="s">
        <v>116</v>
      </c>
      <c r="C64" s="214">
        <v>1</v>
      </c>
      <c r="D64" s="41"/>
      <c r="E64" s="232"/>
      <c r="F64" s="81"/>
      <c r="G64" s="213"/>
      <c r="H64" s="81"/>
      <c r="I64" s="26"/>
      <c r="J64" s="22"/>
      <c r="M64" s="30"/>
      <c r="N64" s="30"/>
      <c r="O64" s="30"/>
      <c r="Q64" s="82"/>
    </row>
    <row r="65" spans="1:17" s="7" customFormat="1" ht="15.95" customHeight="1">
      <c r="A65" s="8"/>
      <c r="B65" s="52"/>
      <c r="C65" s="207" t="s">
        <v>170</v>
      </c>
      <c r="D65" s="203"/>
      <c r="E65" s="235" t="s">
        <v>171</v>
      </c>
      <c r="F65" s="203"/>
      <c r="G65" s="208" t="s">
        <v>164</v>
      </c>
      <c r="I65" s="26"/>
      <c r="J65" s="22"/>
      <c r="M65" s="30"/>
      <c r="N65" s="30"/>
      <c r="O65" s="30"/>
      <c r="Q65" s="82"/>
    </row>
    <row r="66" spans="1:17" s="7" customFormat="1" ht="15.95" customHeight="1">
      <c r="A66" s="12" t="s">
        <v>61</v>
      </c>
      <c r="B66" s="52" t="s">
        <v>62</v>
      </c>
      <c r="C66" s="41"/>
      <c r="D66" s="41"/>
      <c r="E66" s="231"/>
      <c r="F66" s="41"/>
      <c r="G66" s="97"/>
      <c r="I66" s="26"/>
      <c r="J66" s="22"/>
      <c r="M66" s="30"/>
      <c r="N66" s="30"/>
      <c r="O66" s="30"/>
      <c r="Q66" s="82"/>
    </row>
    <row r="67" spans="1:17" s="7" customFormat="1" ht="15.95" customHeight="1">
      <c r="A67" s="20"/>
      <c r="B67" s="52"/>
      <c r="C67" s="59"/>
      <c r="D67" s="59"/>
      <c r="E67" s="233"/>
      <c r="F67" s="59"/>
      <c r="G67" s="104"/>
      <c r="H67" s="19"/>
      <c r="I67" s="26"/>
      <c r="J67" s="22"/>
      <c r="M67" s="30"/>
      <c r="N67" s="30"/>
      <c r="O67" s="30"/>
      <c r="Q67" s="87"/>
    </row>
    <row r="68" spans="1:17" s="7" customFormat="1" ht="15.95" customHeight="1">
      <c r="A68" s="8"/>
      <c r="B68" s="52" t="s">
        <v>41</v>
      </c>
      <c r="C68" s="214">
        <v>15</v>
      </c>
      <c r="D68" s="41"/>
      <c r="E68" s="232"/>
      <c r="F68" s="81"/>
      <c r="G68" s="213"/>
      <c r="H68" s="81"/>
      <c r="I68" s="26"/>
      <c r="J68" s="22"/>
      <c r="M68" s="30"/>
      <c r="N68" s="30"/>
      <c r="O68" s="30"/>
      <c r="Q68" s="82"/>
    </row>
    <row r="69" spans="1:17" s="7" customFormat="1" ht="15.95" customHeight="1">
      <c r="A69" s="8"/>
      <c r="B69" s="52"/>
      <c r="C69" s="41"/>
      <c r="D69" s="41"/>
      <c r="E69" s="231"/>
      <c r="F69" s="41"/>
      <c r="G69" s="97"/>
      <c r="H69" s="41"/>
      <c r="I69" s="26"/>
      <c r="J69" s="22"/>
      <c r="M69" s="30"/>
      <c r="N69" s="30"/>
      <c r="O69" s="30"/>
      <c r="Q69" s="82"/>
    </row>
    <row r="70" spans="1:17" s="7" customFormat="1" ht="89.25" customHeight="1">
      <c r="A70" s="12" t="s">
        <v>73</v>
      </c>
      <c r="B70" s="52" t="s">
        <v>135</v>
      </c>
      <c r="C70" s="41"/>
      <c r="D70" s="41"/>
      <c r="E70" s="231"/>
      <c r="F70" s="41"/>
      <c r="G70" s="97"/>
      <c r="I70" s="26"/>
      <c r="J70" s="22"/>
      <c r="M70" s="30"/>
      <c r="N70" s="30"/>
      <c r="O70" s="30"/>
      <c r="Q70" s="82"/>
    </row>
    <row r="71" spans="1:17" s="7" customFormat="1" ht="15.95" customHeight="1">
      <c r="A71" s="20"/>
      <c r="B71" s="52"/>
      <c r="C71" s="59"/>
      <c r="D71" s="59"/>
      <c r="E71" s="233"/>
      <c r="F71" s="59"/>
      <c r="G71" s="104"/>
      <c r="H71" s="19"/>
      <c r="I71" s="26"/>
      <c r="J71" s="22"/>
      <c r="M71" s="30"/>
      <c r="N71" s="30"/>
      <c r="O71" s="30"/>
      <c r="Q71" s="87"/>
    </row>
    <row r="72" spans="1:17" s="7" customFormat="1" ht="15.95" customHeight="1">
      <c r="A72" s="8"/>
      <c r="B72" s="52" t="s">
        <v>23</v>
      </c>
      <c r="C72" s="214">
        <v>1</v>
      </c>
      <c r="D72" s="41"/>
      <c r="E72" s="232"/>
      <c r="F72" s="81"/>
      <c r="G72" s="213"/>
      <c r="H72" s="81"/>
      <c r="I72" s="26"/>
      <c r="J72" s="22"/>
      <c r="M72" s="30"/>
      <c r="N72" s="30"/>
      <c r="O72" s="30"/>
      <c r="Q72" s="82"/>
    </row>
    <row r="73" spans="1:17" s="7" customFormat="1" ht="15.95" customHeight="1">
      <c r="A73" s="8"/>
      <c r="B73" s="52"/>
      <c r="C73" s="41"/>
      <c r="D73" s="41"/>
      <c r="E73" s="231"/>
      <c r="F73" s="41"/>
      <c r="G73" s="97"/>
      <c r="H73" s="41"/>
      <c r="I73" s="26"/>
      <c r="J73" s="22"/>
      <c r="M73" s="30"/>
      <c r="N73" s="30"/>
      <c r="O73" s="30"/>
      <c r="Q73" s="82"/>
    </row>
    <row r="74" spans="1:17" s="7" customFormat="1" ht="33.950000000000003" customHeight="1">
      <c r="A74" s="12" t="s">
        <v>74</v>
      </c>
      <c r="B74" s="52" t="s">
        <v>10</v>
      </c>
      <c r="C74" s="41"/>
      <c r="D74" s="41"/>
      <c r="E74" s="231"/>
      <c r="F74" s="41"/>
      <c r="G74" s="97"/>
      <c r="I74" s="26"/>
      <c r="J74" s="22"/>
      <c r="M74" s="30"/>
      <c r="N74" s="30"/>
      <c r="O74" s="30"/>
      <c r="Q74" s="82"/>
    </row>
    <row r="75" spans="1:17" s="7" customFormat="1" ht="15.95" customHeight="1">
      <c r="A75" s="20"/>
      <c r="B75" s="52"/>
      <c r="C75" s="59"/>
      <c r="D75" s="59"/>
      <c r="E75" s="233"/>
      <c r="F75" s="59"/>
      <c r="G75" s="104"/>
      <c r="H75" s="19"/>
      <c r="I75" s="26"/>
      <c r="J75" s="22"/>
      <c r="M75" s="30"/>
      <c r="N75" s="30"/>
      <c r="O75" s="30"/>
      <c r="Q75" s="87"/>
    </row>
    <row r="76" spans="1:17" s="7" customFormat="1" ht="15.95" customHeight="1">
      <c r="A76" s="8"/>
      <c r="B76" s="52" t="s">
        <v>23</v>
      </c>
      <c r="C76" s="214">
        <v>1</v>
      </c>
      <c r="D76" s="41"/>
      <c r="E76" s="232"/>
      <c r="F76" s="81"/>
      <c r="G76" s="213"/>
      <c r="H76" s="81"/>
      <c r="I76" s="26"/>
      <c r="J76" s="22"/>
      <c r="M76" s="30"/>
      <c r="N76" s="30"/>
      <c r="O76" s="30"/>
      <c r="Q76" s="82"/>
    </row>
    <row r="77" spans="1:17" s="7" customFormat="1" ht="15.95" customHeight="1">
      <c r="A77" s="8"/>
      <c r="B77" s="52"/>
      <c r="C77" s="41"/>
      <c r="D77" s="41"/>
      <c r="E77" s="231"/>
      <c r="F77" s="41"/>
      <c r="G77" s="97"/>
      <c r="I77" s="26"/>
      <c r="J77" s="22"/>
      <c r="M77" s="30"/>
      <c r="N77" s="30"/>
      <c r="O77" s="30"/>
      <c r="Q77" s="82"/>
    </row>
    <row r="78" spans="1:17" s="7" customFormat="1" ht="31.5">
      <c r="A78" s="11"/>
      <c r="B78" s="60" t="s">
        <v>43</v>
      </c>
      <c r="C78" s="49"/>
      <c r="D78" s="49"/>
      <c r="E78" s="236"/>
      <c r="F78" s="49"/>
      <c r="G78" s="209"/>
      <c r="H78" s="49"/>
      <c r="I78" s="118"/>
      <c r="J78" s="22"/>
      <c r="M78" s="30"/>
      <c r="N78" s="30"/>
      <c r="O78" s="30"/>
      <c r="Q78" s="84"/>
    </row>
    <row r="79" spans="1:17" s="7" customFormat="1">
      <c r="A79" s="11"/>
      <c r="B79" s="60"/>
      <c r="C79" s="49"/>
      <c r="D79" s="49"/>
      <c r="E79" s="236"/>
      <c r="F79" s="49"/>
      <c r="G79" s="100"/>
      <c r="H79" s="49"/>
      <c r="I79" s="26"/>
      <c r="J79" s="22"/>
      <c r="M79" s="30"/>
      <c r="N79" s="30"/>
      <c r="O79" s="30"/>
      <c r="Q79" s="84"/>
    </row>
    <row r="80" spans="1:17" s="7" customFormat="1">
      <c r="A80" s="11" t="s">
        <v>32</v>
      </c>
      <c r="B80" s="9" t="s">
        <v>17</v>
      </c>
      <c r="C80" s="46"/>
      <c r="E80" s="237"/>
      <c r="G80" s="99"/>
      <c r="I80" s="26"/>
      <c r="J80" s="22"/>
      <c r="M80" s="30"/>
      <c r="N80" s="30"/>
      <c r="O80" s="30"/>
      <c r="Q80" s="91"/>
    </row>
    <row r="81" spans="1:10">
      <c r="B81" s="52"/>
      <c r="E81" s="231"/>
      <c r="H81" s="61"/>
    </row>
    <row r="82" spans="1:10" ht="69" customHeight="1">
      <c r="A82" s="43" t="s">
        <v>34</v>
      </c>
      <c r="B82" s="52" t="s">
        <v>133</v>
      </c>
      <c r="E82" s="231"/>
      <c r="H82" s="61"/>
      <c r="J82" s="52"/>
    </row>
    <row r="83" spans="1:10">
      <c r="B83" s="52"/>
      <c r="E83" s="231"/>
      <c r="H83" s="61"/>
    </row>
    <row r="84" spans="1:10">
      <c r="B84" s="52" t="s">
        <v>25</v>
      </c>
      <c r="C84" s="214">
        <f>36.09/0.09</f>
        <v>401.00000000000006</v>
      </c>
      <c r="E84" s="232"/>
      <c r="F84" s="81"/>
      <c r="G84" s="213"/>
      <c r="H84" s="81"/>
    </row>
    <row r="85" spans="1:10">
      <c r="B85" s="52"/>
      <c r="E85" s="231"/>
      <c r="H85" s="61"/>
    </row>
    <row r="86" spans="1:10">
      <c r="B86" s="52"/>
      <c r="E86" s="231"/>
      <c r="H86" s="61"/>
    </row>
    <row r="87" spans="1:10" ht="65.25">
      <c r="A87" s="43" t="s">
        <v>36</v>
      </c>
      <c r="B87" s="52" t="s">
        <v>88</v>
      </c>
      <c r="E87" s="231"/>
      <c r="H87" s="61"/>
    </row>
    <row r="88" spans="1:10">
      <c r="B88" s="52"/>
      <c r="E88" s="231"/>
      <c r="H88" s="61"/>
    </row>
    <row r="89" spans="1:10" ht="25.5">
      <c r="B89" s="52" t="s">
        <v>141</v>
      </c>
      <c r="E89" s="231"/>
      <c r="H89" s="61"/>
    </row>
    <row r="90" spans="1:10">
      <c r="B90" s="52" t="s">
        <v>20</v>
      </c>
      <c r="C90" s="214">
        <f>1130.55*0.8</f>
        <v>904.44</v>
      </c>
      <c r="E90" s="230"/>
      <c r="F90" s="81"/>
      <c r="G90" s="213"/>
      <c r="H90" s="81"/>
    </row>
    <row r="91" spans="1:10">
      <c r="B91" s="52"/>
      <c r="E91" s="231"/>
      <c r="H91" s="41"/>
      <c r="J91" s="36"/>
    </row>
    <row r="92" spans="1:10">
      <c r="B92" s="52" t="s">
        <v>142</v>
      </c>
      <c r="E92" s="231"/>
      <c r="H92" s="61"/>
    </row>
    <row r="93" spans="1:10">
      <c r="B93" s="52" t="s">
        <v>20</v>
      </c>
      <c r="C93" s="214">
        <f>1130.55*0.2</f>
        <v>226.11</v>
      </c>
      <c r="E93" s="232"/>
      <c r="F93" s="81"/>
      <c r="G93" s="213"/>
      <c r="H93" s="81"/>
    </row>
    <row r="94" spans="1:10">
      <c r="B94" s="52"/>
      <c r="C94" s="207" t="s">
        <v>170</v>
      </c>
      <c r="D94" s="203"/>
      <c r="E94" s="235" t="s">
        <v>171</v>
      </c>
      <c r="F94" s="203"/>
      <c r="G94" s="208" t="s">
        <v>164</v>
      </c>
      <c r="H94" s="61"/>
    </row>
    <row r="95" spans="1:10" ht="67.5" customHeight="1">
      <c r="A95" s="43" t="s">
        <v>37</v>
      </c>
      <c r="B95" s="52" t="s">
        <v>89</v>
      </c>
      <c r="E95" s="231"/>
      <c r="H95" s="61"/>
    </row>
    <row r="96" spans="1:10">
      <c r="B96" s="52"/>
      <c r="E96" s="231"/>
      <c r="H96" s="61"/>
    </row>
    <row r="97" spans="1:17" ht="25.5">
      <c r="B97" s="52" t="s">
        <v>141</v>
      </c>
      <c r="E97" s="231"/>
      <c r="H97" s="61"/>
    </row>
    <row r="98" spans="1:17">
      <c r="B98" s="52" t="s">
        <v>20</v>
      </c>
      <c r="C98" s="214">
        <f>89.3*0.8</f>
        <v>71.44</v>
      </c>
      <c r="E98" s="238"/>
      <c r="F98" s="81"/>
      <c r="G98" s="213"/>
      <c r="H98" s="81"/>
    </row>
    <row r="99" spans="1:17">
      <c r="B99" s="52"/>
      <c r="E99" s="231"/>
      <c r="H99" s="41"/>
      <c r="J99" s="36"/>
    </row>
    <row r="100" spans="1:17">
      <c r="B100" s="52" t="s">
        <v>142</v>
      </c>
      <c r="E100" s="231"/>
      <c r="H100" s="61"/>
    </row>
    <row r="101" spans="1:17">
      <c r="B101" s="52" t="s">
        <v>20</v>
      </c>
      <c r="C101" s="214">
        <f>89.3*0.2</f>
        <v>17.86</v>
      </c>
      <c r="E101" s="230"/>
      <c r="F101" s="81"/>
      <c r="G101" s="213"/>
      <c r="H101" s="81"/>
    </row>
    <row r="102" spans="1:17" s="68" customFormat="1">
      <c r="A102" s="69"/>
      <c r="B102" s="70"/>
      <c r="C102" s="66"/>
      <c r="D102" s="66"/>
      <c r="E102" s="231"/>
      <c r="F102" s="66"/>
      <c r="G102" s="97"/>
      <c r="H102" s="67"/>
      <c r="Q102" s="88"/>
    </row>
    <row r="103" spans="1:17" s="64" customFormat="1" ht="38.25">
      <c r="A103" s="43" t="s">
        <v>45</v>
      </c>
      <c r="B103" s="52" t="s">
        <v>38</v>
      </c>
      <c r="C103" s="41"/>
      <c r="D103" s="41"/>
      <c r="E103" s="231"/>
      <c r="F103" s="41"/>
      <c r="G103" s="97"/>
      <c r="H103" s="61"/>
      <c r="I103" s="62"/>
      <c r="J103" s="63"/>
      <c r="M103" s="65"/>
      <c r="N103" s="65"/>
      <c r="O103" s="65"/>
      <c r="Q103" s="82"/>
    </row>
    <row r="104" spans="1:17">
      <c r="B104" s="52"/>
      <c r="C104" s="59"/>
      <c r="D104" s="59"/>
      <c r="E104" s="231"/>
      <c r="F104" s="59"/>
      <c r="G104" s="104"/>
      <c r="H104" s="64"/>
      <c r="Q104" s="87"/>
    </row>
    <row r="105" spans="1:17">
      <c r="B105" s="52" t="s">
        <v>25</v>
      </c>
      <c r="C105" s="214">
        <f>C41*0.75</f>
        <v>309</v>
      </c>
      <c r="E105" s="232"/>
      <c r="G105" s="213"/>
      <c r="H105" s="41"/>
    </row>
    <row r="106" spans="1:17">
      <c r="B106" s="52"/>
      <c r="E106" s="231"/>
      <c r="H106" s="61"/>
    </row>
    <row r="107" spans="1:17" s="64" customFormat="1" ht="140.25">
      <c r="A107" s="43" t="s">
        <v>46</v>
      </c>
      <c r="B107" s="52" t="s">
        <v>90</v>
      </c>
      <c r="C107" s="41"/>
      <c r="D107" s="41"/>
      <c r="E107" s="231"/>
      <c r="F107" s="41"/>
      <c r="G107" s="97"/>
      <c r="H107" s="61"/>
      <c r="I107" s="62"/>
      <c r="J107" s="63"/>
      <c r="M107" s="65"/>
      <c r="N107" s="65"/>
      <c r="O107" s="65"/>
      <c r="Q107" s="82"/>
    </row>
    <row r="108" spans="1:17">
      <c r="A108" s="71"/>
      <c r="B108" s="52"/>
      <c r="C108" s="59"/>
      <c r="D108" s="59"/>
      <c r="E108" s="231"/>
      <c r="F108" s="59"/>
      <c r="G108" s="104"/>
      <c r="H108" s="64"/>
      <c r="Q108" s="87"/>
    </row>
    <row r="109" spans="1:17">
      <c r="B109" s="52" t="s">
        <v>20</v>
      </c>
      <c r="C109" s="214">
        <v>59.5</v>
      </c>
      <c r="E109" s="232"/>
      <c r="G109" s="213"/>
      <c r="H109" s="41"/>
    </row>
    <row r="110" spans="1:17">
      <c r="B110" s="52"/>
      <c r="E110" s="231"/>
      <c r="H110" s="61"/>
    </row>
    <row r="111" spans="1:17" s="64" customFormat="1" ht="114.75">
      <c r="A111" s="43" t="s">
        <v>47</v>
      </c>
      <c r="B111" s="52" t="s">
        <v>132</v>
      </c>
      <c r="C111" s="41"/>
      <c r="D111" s="41"/>
      <c r="E111" s="231"/>
      <c r="F111" s="41"/>
      <c r="G111" s="97"/>
      <c r="H111" s="61"/>
      <c r="I111" s="62"/>
      <c r="J111" s="63"/>
      <c r="M111" s="65"/>
      <c r="N111" s="65"/>
      <c r="O111" s="65"/>
      <c r="Q111" s="82"/>
    </row>
    <row r="112" spans="1:17">
      <c r="A112" s="71"/>
      <c r="B112" s="52"/>
      <c r="C112" s="59"/>
      <c r="D112" s="59"/>
      <c r="E112" s="231"/>
      <c r="F112" s="59"/>
      <c r="G112" s="104"/>
      <c r="H112" s="64"/>
      <c r="Q112" s="87"/>
    </row>
    <row r="113" spans="1:15">
      <c r="B113" s="52" t="s">
        <v>20</v>
      </c>
      <c r="C113" s="214">
        <v>203.5</v>
      </c>
      <c r="E113" s="232"/>
      <c r="G113" s="213"/>
      <c r="H113" s="41"/>
    </row>
    <row r="114" spans="1:15">
      <c r="B114" s="52"/>
      <c r="E114" s="231"/>
      <c r="H114" s="61"/>
    </row>
    <row r="115" spans="1:15" ht="89.25">
      <c r="A115" s="43" t="s">
        <v>48</v>
      </c>
      <c r="B115" s="52" t="s">
        <v>91</v>
      </c>
      <c r="E115" s="231"/>
      <c r="H115" s="61"/>
    </row>
    <row r="116" spans="1:15">
      <c r="A116" s="71"/>
      <c r="B116" s="52"/>
      <c r="E116" s="231"/>
      <c r="H116" s="61"/>
    </row>
    <row r="117" spans="1:15">
      <c r="B117" s="52" t="s">
        <v>20</v>
      </c>
      <c r="C117" s="226">
        <f>760.47*1</f>
        <v>760.47</v>
      </c>
      <c r="E117" s="232"/>
      <c r="G117" s="213"/>
      <c r="H117" s="41"/>
    </row>
    <row r="118" spans="1:15">
      <c r="B118" s="52"/>
      <c r="E118" s="231"/>
      <c r="H118" s="41"/>
    </row>
    <row r="119" spans="1:15">
      <c r="B119" s="52"/>
      <c r="C119" s="207" t="s">
        <v>170</v>
      </c>
      <c r="D119" s="203"/>
      <c r="E119" s="235" t="s">
        <v>171</v>
      </c>
      <c r="F119" s="203"/>
      <c r="G119" s="208" t="s">
        <v>164</v>
      </c>
      <c r="H119" s="61"/>
      <c r="I119" s="38"/>
      <c r="J119" s="38"/>
      <c r="M119" s="38"/>
      <c r="N119" s="38"/>
      <c r="O119" s="38"/>
    </row>
    <row r="120" spans="1:15" ht="114.75">
      <c r="A120" s="43" t="s">
        <v>50</v>
      </c>
      <c r="B120" s="52" t="s">
        <v>177</v>
      </c>
      <c r="E120" s="231"/>
      <c r="H120" s="61"/>
      <c r="K120" s="52"/>
    </row>
    <row r="121" spans="1:15">
      <c r="A121" s="71"/>
      <c r="B121" s="52"/>
      <c r="E121" s="231"/>
      <c r="H121" s="61"/>
    </row>
    <row r="122" spans="1:15">
      <c r="B122" s="52" t="s">
        <v>20</v>
      </c>
      <c r="C122" s="214">
        <v>215.3</v>
      </c>
      <c r="E122" s="232"/>
      <c r="G122" s="213"/>
      <c r="H122" s="41"/>
    </row>
    <row r="123" spans="1:15">
      <c r="B123" s="52"/>
      <c r="E123" s="231"/>
      <c r="H123" s="61"/>
    </row>
    <row r="124" spans="1:15" ht="326.25" customHeight="1">
      <c r="A124" s="43" t="s">
        <v>51</v>
      </c>
      <c r="B124" s="16" t="s">
        <v>168</v>
      </c>
      <c r="E124" s="231"/>
      <c r="H124" s="61"/>
    </row>
    <row r="125" spans="1:15">
      <c r="A125" s="71"/>
      <c r="B125" s="72"/>
      <c r="E125" s="231"/>
      <c r="H125" s="61"/>
    </row>
    <row r="126" spans="1:15">
      <c r="B126" s="52" t="s">
        <v>25</v>
      </c>
      <c r="C126" s="214">
        <f>C84</f>
        <v>401.00000000000006</v>
      </c>
      <c r="E126" s="230"/>
      <c r="G126" s="213"/>
      <c r="H126" s="41"/>
    </row>
    <row r="127" spans="1:15">
      <c r="B127" s="52"/>
      <c r="E127" s="231"/>
      <c r="H127" s="41"/>
    </row>
    <row r="128" spans="1:15" ht="38.25">
      <c r="A128" s="43" t="s">
        <v>67</v>
      </c>
      <c r="B128" s="16" t="s">
        <v>249</v>
      </c>
      <c r="E128" s="231"/>
      <c r="H128" s="61"/>
    </row>
    <row r="129" spans="1:17">
      <c r="A129" s="71"/>
      <c r="B129" s="72"/>
      <c r="E129" s="231"/>
      <c r="H129" s="61"/>
    </row>
    <row r="130" spans="1:17">
      <c r="B130" s="52" t="s">
        <v>25</v>
      </c>
      <c r="C130" s="214">
        <v>206</v>
      </c>
      <c r="E130" s="232"/>
      <c r="G130" s="213"/>
      <c r="H130" s="41"/>
    </row>
    <row r="131" spans="1:17">
      <c r="B131" s="52"/>
      <c r="E131" s="231"/>
      <c r="H131" s="61"/>
    </row>
    <row r="132" spans="1:17" ht="38.25">
      <c r="A132" s="43" t="s">
        <v>63</v>
      </c>
      <c r="B132" s="72" t="s">
        <v>76</v>
      </c>
      <c r="E132" s="231"/>
      <c r="H132" s="61"/>
      <c r="K132" s="121"/>
    </row>
    <row r="133" spans="1:17">
      <c r="A133" s="71"/>
      <c r="B133" s="72"/>
      <c r="E133" s="231"/>
      <c r="H133" s="61"/>
    </row>
    <row r="134" spans="1:17">
      <c r="B134" s="52" t="s">
        <v>25</v>
      </c>
      <c r="C134" s="214">
        <f>25.5/0.05</f>
        <v>510</v>
      </c>
      <c r="E134" s="232"/>
      <c r="G134" s="213"/>
      <c r="H134" s="41"/>
    </row>
    <row r="135" spans="1:17">
      <c r="B135" s="52"/>
      <c r="C135" s="207" t="s">
        <v>170</v>
      </c>
      <c r="D135" s="203"/>
      <c r="E135" s="235" t="s">
        <v>171</v>
      </c>
      <c r="F135" s="203"/>
      <c r="G135" s="208" t="s">
        <v>164</v>
      </c>
      <c r="H135" s="61"/>
    </row>
    <row r="136" spans="1:17" ht="55.7" customHeight="1">
      <c r="A136" s="43" t="s">
        <v>64</v>
      </c>
      <c r="B136" s="52" t="s">
        <v>97</v>
      </c>
      <c r="E136" s="231"/>
      <c r="H136" s="61"/>
    </row>
    <row r="137" spans="1:17">
      <c r="B137" s="52"/>
      <c r="E137" s="231"/>
      <c r="H137" s="61"/>
    </row>
    <row r="138" spans="1:17">
      <c r="B138" s="52" t="s">
        <v>41</v>
      </c>
      <c r="C138" s="214">
        <v>5</v>
      </c>
      <c r="E138" s="232"/>
      <c r="G138" s="213"/>
      <c r="H138" s="41"/>
    </row>
    <row r="139" spans="1:17">
      <c r="B139" s="52"/>
      <c r="E139" s="231"/>
      <c r="H139" s="61"/>
    </row>
    <row r="140" spans="1:17" s="64" customFormat="1" ht="63.75">
      <c r="A140" s="43" t="s">
        <v>65</v>
      </c>
      <c r="B140" s="52" t="s">
        <v>7</v>
      </c>
      <c r="C140" s="41"/>
      <c r="D140" s="41"/>
      <c r="E140" s="231"/>
      <c r="F140" s="41"/>
      <c r="G140" s="97"/>
      <c r="H140" s="61"/>
      <c r="I140" s="62"/>
      <c r="J140" s="63"/>
      <c r="M140" s="65"/>
      <c r="N140" s="65"/>
      <c r="O140" s="65"/>
      <c r="Q140" s="82"/>
    </row>
    <row r="141" spans="1:17">
      <c r="B141" s="52"/>
      <c r="C141" s="59"/>
      <c r="D141" s="59"/>
      <c r="E141" s="233"/>
      <c r="F141" s="59"/>
      <c r="G141" s="104"/>
      <c r="H141" s="64"/>
      <c r="Q141" s="87"/>
    </row>
    <row r="142" spans="1:17">
      <c r="B142" s="52" t="s">
        <v>39</v>
      </c>
      <c r="E142" s="231"/>
      <c r="G142" s="213"/>
      <c r="H142" s="41"/>
    </row>
    <row r="143" spans="1:17">
      <c r="B143" s="52"/>
      <c r="E143" s="231"/>
      <c r="H143" s="61"/>
    </row>
    <row r="144" spans="1:17" s="7" customFormat="1">
      <c r="A144" s="43"/>
      <c r="B144" s="60" t="s">
        <v>21</v>
      </c>
      <c r="C144" s="56"/>
      <c r="D144" s="56"/>
      <c r="E144" s="239"/>
      <c r="F144" s="56"/>
      <c r="G144" s="209"/>
      <c r="H144" s="49"/>
      <c r="I144" s="26"/>
      <c r="J144" s="22"/>
      <c r="M144" s="30"/>
      <c r="N144" s="30"/>
      <c r="O144" s="30"/>
      <c r="Q144" s="86"/>
    </row>
    <row r="145" spans="1:17" ht="15.95" customHeight="1">
      <c r="A145" s="47"/>
      <c r="B145" s="9"/>
      <c r="C145" s="56"/>
      <c r="D145" s="56"/>
      <c r="E145" s="239"/>
      <c r="F145" s="56"/>
      <c r="G145" s="100"/>
      <c r="Q145" s="86"/>
    </row>
    <row r="146" spans="1:17">
      <c r="A146" s="11" t="s">
        <v>42</v>
      </c>
      <c r="B146" s="9" t="s">
        <v>18</v>
      </c>
      <c r="C146" s="46"/>
      <c r="D146" s="7"/>
      <c r="E146" s="237"/>
      <c r="F146" s="7"/>
      <c r="G146" s="99"/>
      <c r="H146" s="7"/>
      <c r="Q146" s="91"/>
    </row>
    <row r="147" spans="1:17">
      <c r="A147" s="11"/>
      <c r="B147" s="9"/>
      <c r="C147" s="46"/>
      <c r="D147" s="7"/>
      <c r="E147" s="237"/>
      <c r="F147" s="7"/>
      <c r="G147" s="99"/>
      <c r="H147" s="7"/>
      <c r="Q147" s="91"/>
    </row>
    <row r="148" spans="1:17" ht="43.5" customHeight="1">
      <c r="A148" s="43" t="s">
        <v>112</v>
      </c>
      <c r="B148" s="73" t="s">
        <v>98</v>
      </c>
      <c r="E148" s="231"/>
      <c r="H148" s="61"/>
    </row>
    <row r="149" spans="1:17">
      <c r="B149" s="52"/>
      <c r="E149" s="231"/>
      <c r="H149" s="61"/>
    </row>
    <row r="150" spans="1:17">
      <c r="B150" s="52" t="s">
        <v>22</v>
      </c>
      <c r="C150" s="214">
        <v>412</v>
      </c>
      <c r="E150" s="232"/>
      <c r="G150" s="213"/>
      <c r="H150" s="41"/>
    </row>
    <row r="151" spans="1:17">
      <c r="B151" s="52"/>
      <c r="C151" s="120"/>
      <c r="E151" s="231"/>
      <c r="H151" s="41"/>
    </row>
    <row r="152" spans="1:17" ht="76.5">
      <c r="A152" s="43" t="s">
        <v>78</v>
      </c>
      <c r="B152" s="73" t="s">
        <v>99</v>
      </c>
      <c r="E152" s="231"/>
      <c r="H152" s="61"/>
    </row>
    <row r="153" spans="1:17">
      <c r="B153" s="52"/>
      <c r="E153" s="231"/>
      <c r="H153" s="61"/>
    </row>
    <row r="154" spans="1:17">
      <c r="B154" s="52" t="s">
        <v>22</v>
      </c>
      <c r="C154" s="214">
        <v>412</v>
      </c>
      <c r="E154" s="230"/>
      <c r="G154" s="213"/>
      <c r="H154" s="41"/>
    </row>
    <row r="155" spans="1:17" s="79" customFormat="1">
      <c r="A155" s="43"/>
      <c r="B155" s="52"/>
      <c r="C155" s="124"/>
      <c r="D155" s="41"/>
      <c r="E155" s="231"/>
      <c r="F155" s="41"/>
      <c r="G155" s="97"/>
      <c r="H155" s="41"/>
      <c r="Q155" s="95"/>
    </row>
    <row r="156" spans="1:17" s="79" customFormat="1" ht="102">
      <c r="A156" s="43" t="s">
        <v>101</v>
      </c>
      <c r="B156" s="10" t="s">
        <v>195</v>
      </c>
      <c r="C156" s="41"/>
      <c r="D156" s="41"/>
      <c r="E156" s="231"/>
      <c r="F156" s="41"/>
      <c r="G156" s="97"/>
      <c r="H156" s="125"/>
      <c r="K156" s="10"/>
      <c r="Q156" s="82"/>
    </row>
    <row r="157" spans="1:17" s="79" customFormat="1">
      <c r="A157" s="43"/>
      <c r="B157" s="10"/>
      <c r="C157" s="41"/>
      <c r="D157" s="41"/>
      <c r="E157" s="231"/>
      <c r="F157" s="41"/>
      <c r="G157" s="97"/>
      <c r="H157" s="125"/>
      <c r="K157" s="10"/>
      <c r="Q157" s="82"/>
    </row>
    <row r="158" spans="1:17" s="79" customFormat="1" ht="15.95" customHeight="1">
      <c r="A158" s="43"/>
      <c r="B158" s="52" t="s">
        <v>122</v>
      </c>
      <c r="C158" s="216">
        <v>3</v>
      </c>
      <c r="D158" s="41"/>
      <c r="E158" s="232"/>
      <c r="F158" s="41"/>
      <c r="G158" s="213"/>
      <c r="H158" s="41"/>
      <c r="Q158" s="95"/>
    </row>
    <row r="159" spans="1:17" s="79" customFormat="1">
      <c r="A159" s="43"/>
      <c r="B159" s="52" t="s">
        <v>117</v>
      </c>
      <c r="C159" s="216">
        <v>8</v>
      </c>
      <c r="D159" s="41"/>
      <c r="E159" s="232"/>
      <c r="F159" s="41"/>
      <c r="G159" s="213"/>
      <c r="H159" s="41"/>
      <c r="Q159" s="95"/>
    </row>
    <row r="160" spans="1:17" s="79" customFormat="1">
      <c r="A160" s="43"/>
      <c r="B160" s="52" t="s">
        <v>118</v>
      </c>
      <c r="C160" s="216">
        <v>2</v>
      </c>
      <c r="D160" s="41"/>
      <c r="E160" s="232"/>
      <c r="F160" s="41"/>
      <c r="G160" s="213"/>
      <c r="H160" s="41"/>
      <c r="Q160" s="95"/>
    </row>
    <row r="161" spans="1:17" s="79" customFormat="1">
      <c r="A161" s="43"/>
      <c r="B161" s="52" t="s">
        <v>119</v>
      </c>
      <c r="C161" s="216">
        <v>1</v>
      </c>
      <c r="D161" s="41"/>
      <c r="E161" s="232"/>
      <c r="F161" s="41"/>
      <c r="G161" s="213"/>
      <c r="H161" s="41"/>
      <c r="Q161" s="95"/>
    </row>
    <row r="162" spans="1:17" s="79" customFormat="1">
      <c r="A162" s="43"/>
      <c r="B162" s="52"/>
      <c r="C162" s="124"/>
      <c r="D162" s="41"/>
      <c r="E162" s="231"/>
      <c r="F162" s="41"/>
      <c r="G162" s="97"/>
      <c r="H162" s="41"/>
      <c r="Q162" s="95"/>
    </row>
    <row r="163" spans="1:17" s="79" customFormat="1">
      <c r="A163" s="43"/>
      <c r="B163" s="52"/>
      <c r="C163" s="207" t="s">
        <v>170</v>
      </c>
      <c r="D163" s="203"/>
      <c r="E163" s="235" t="s">
        <v>171</v>
      </c>
      <c r="F163" s="203"/>
      <c r="G163" s="208" t="s">
        <v>164</v>
      </c>
      <c r="H163" s="41"/>
      <c r="Q163" s="95"/>
    </row>
    <row r="164" spans="1:17" s="79" customFormat="1" ht="165.75">
      <c r="A164" s="43" t="s">
        <v>79</v>
      </c>
      <c r="B164" s="10" t="s">
        <v>194</v>
      </c>
      <c r="C164" s="41"/>
      <c r="D164" s="41"/>
      <c r="E164" s="231"/>
      <c r="F164" s="41"/>
      <c r="G164" s="97"/>
      <c r="H164" s="125"/>
      <c r="K164" s="10"/>
      <c r="Q164" s="82"/>
    </row>
    <row r="165" spans="1:17" s="79" customFormat="1">
      <c r="A165" s="43"/>
      <c r="B165" s="52"/>
      <c r="C165" s="41"/>
      <c r="D165" s="41"/>
      <c r="E165" s="231"/>
      <c r="F165" s="41"/>
      <c r="G165" s="97"/>
      <c r="H165" s="125"/>
      <c r="Q165" s="82"/>
    </row>
    <row r="166" spans="1:17" s="79" customFormat="1">
      <c r="A166" s="43"/>
      <c r="B166" s="52" t="s">
        <v>121</v>
      </c>
      <c r="C166" s="216">
        <f>C158</f>
        <v>3</v>
      </c>
      <c r="D166" s="41"/>
      <c r="E166" s="232"/>
      <c r="F166" s="41"/>
      <c r="G166" s="213"/>
      <c r="H166" s="41"/>
      <c r="Q166" s="95"/>
    </row>
    <row r="167" spans="1:17" s="79" customFormat="1">
      <c r="A167" s="43"/>
      <c r="B167" s="52" t="s">
        <v>117</v>
      </c>
      <c r="C167" s="216">
        <f>C159</f>
        <v>8</v>
      </c>
      <c r="D167" s="41"/>
      <c r="E167" s="232"/>
      <c r="F167" s="41"/>
      <c r="G167" s="213"/>
      <c r="H167" s="41"/>
      <c r="Q167" s="95"/>
    </row>
    <row r="168" spans="1:17" s="79" customFormat="1">
      <c r="A168" s="43"/>
      <c r="B168" s="52" t="s">
        <v>118</v>
      </c>
      <c r="C168" s="124">
        <f>C160</f>
        <v>2</v>
      </c>
      <c r="D168" s="41"/>
      <c r="E168" s="232"/>
      <c r="F168" s="41"/>
      <c r="G168" s="213"/>
      <c r="H168" s="41"/>
      <c r="Q168" s="95"/>
    </row>
    <row r="169" spans="1:17" s="79" customFormat="1">
      <c r="A169" s="43"/>
      <c r="B169" s="52" t="s">
        <v>119</v>
      </c>
      <c r="C169" s="124">
        <f>C161</f>
        <v>1</v>
      </c>
      <c r="D169" s="41"/>
      <c r="E169" s="232"/>
      <c r="F169" s="41"/>
      <c r="G169" s="213"/>
      <c r="H169" s="41"/>
      <c r="Q169" s="95"/>
    </row>
    <row r="170" spans="1:17" s="79" customFormat="1">
      <c r="A170" s="43"/>
      <c r="B170" s="52"/>
      <c r="C170" s="124"/>
      <c r="D170" s="41"/>
      <c r="E170" s="231"/>
      <c r="F170" s="41"/>
      <c r="G170" s="97"/>
      <c r="H170" s="41"/>
      <c r="Q170" s="95"/>
    </row>
    <row r="171" spans="1:17" s="79" customFormat="1" ht="114" customHeight="1">
      <c r="A171" s="43" t="s">
        <v>125</v>
      </c>
      <c r="B171" s="10" t="s">
        <v>196</v>
      </c>
      <c r="C171" s="41"/>
      <c r="D171" s="41"/>
      <c r="E171" s="231"/>
      <c r="F171" s="41"/>
      <c r="G171" s="97"/>
      <c r="H171" s="125"/>
      <c r="K171" s="10"/>
      <c r="Q171" s="82"/>
    </row>
    <row r="172" spans="1:17" s="79" customFormat="1">
      <c r="A172" s="43"/>
      <c r="B172" s="10"/>
      <c r="C172" s="41"/>
      <c r="D172" s="41"/>
      <c r="E172" s="231"/>
      <c r="F172" s="41"/>
      <c r="G172" s="97"/>
      <c r="H172" s="125"/>
      <c r="K172" s="10"/>
      <c r="Q172" s="82"/>
    </row>
    <row r="173" spans="1:17" s="79" customFormat="1">
      <c r="A173" s="43"/>
      <c r="B173" s="52" t="s">
        <v>119</v>
      </c>
      <c r="C173" s="216">
        <v>1</v>
      </c>
      <c r="D173" s="41"/>
      <c r="E173" s="232"/>
      <c r="F173" s="41"/>
      <c r="G173" s="213"/>
      <c r="H173" s="41"/>
      <c r="Q173" s="95"/>
    </row>
    <row r="174" spans="1:17" s="79" customFormat="1">
      <c r="A174" s="43"/>
      <c r="B174" s="52"/>
      <c r="C174" s="124"/>
      <c r="D174" s="41"/>
      <c r="E174" s="231"/>
      <c r="F174" s="41"/>
      <c r="G174" s="97"/>
      <c r="H174" s="41"/>
      <c r="Q174" s="95"/>
    </row>
    <row r="175" spans="1:17" s="79" customFormat="1" ht="165.75">
      <c r="A175" s="43" t="s">
        <v>126</v>
      </c>
      <c r="B175" s="10" t="s">
        <v>197</v>
      </c>
      <c r="C175" s="41"/>
      <c r="D175" s="41"/>
      <c r="E175" s="231"/>
      <c r="F175" s="41"/>
      <c r="G175" s="97"/>
      <c r="H175" s="125"/>
      <c r="K175" s="10"/>
      <c r="Q175" s="82"/>
    </row>
    <row r="176" spans="1:17" s="79" customFormat="1">
      <c r="A176" s="43"/>
      <c r="B176" s="52"/>
      <c r="C176" s="41"/>
      <c r="D176" s="41"/>
      <c r="E176" s="231"/>
      <c r="F176" s="41"/>
      <c r="G176" s="97"/>
      <c r="H176" s="125"/>
      <c r="Q176" s="82"/>
    </row>
    <row r="177" spans="1:17" s="79" customFormat="1">
      <c r="A177" s="43"/>
      <c r="B177" s="52" t="s">
        <v>119</v>
      </c>
      <c r="C177" s="216">
        <f>C173</f>
        <v>1</v>
      </c>
      <c r="D177" s="41"/>
      <c r="E177" s="232"/>
      <c r="F177" s="41"/>
      <c r="G177" s="213"/>
      <c r="H177" s="41"/>
      <c r="Q177" s="95"/>
    </row>
    <row r="178" spans="1:17" s="79" customFormat="1">
      <c r="A178" s="43"/>
      <c r="B178" s="52"/>
      <c r="C178" s="207" t="s">
        <v>170</v>
      </c>
      <c r="D178" s="203"/>
      <c r="E178" s="235" t="s">
        <v>171</v>
      </c>
      <c r="F178" s="203"/>
      <c r="G178" s="208" t="s">
        <v>164</v>
      </c>
      <c r="H178" s="41"/>
      <c r="Q178" s="95"/>
    </row>
    <row r="179" spans="1:17" s="79" customFormat="1" ht="122.25" customHeight="1">
      <c r="A179" s="43" t="s">
        <v>114</v>
      </c>
      <c r="B179" s="10" t="s">
        <v>198</v>
      </c>
      <c r="C179" s="41"/>
      <c r="D179" s="41"/>
      <c r="E179" s="231"/>
      <c r="F179" s="41"/>
      <c r="G179" s="97"/>
      <c r="H179" s="125"/>
      <c r="K179" s="10"/>
      <c r="Q179" s="82"/>
    </row>
    <row r="180" spans="1:17" s="79" customFormat="1">
      <c r="A180" s="43"/>
      <c r="B180" s="10"/>
      <c r="C180" s="41"/>
      <c r="D180" s="41"/>
      <c r="E180" s="231"/>
      <c r="F180" s="41"/>
      <c r="G180" s="97"/>
      <c r="H180" s="125"/>
      <c r="K180" s="10"/>
      <c r="Q180" s="82"/>
    </row>
    <row r="181" spans="1:17" s="79" customFormat="1">
      <c r="A181" s="43"/>
      <c r="B181" s="52" t="s">
        <v>120</v>
      </c>
      <c r="C181" s="216">
        <v>1</v>
      </c>
      <c r="D181" s="41"/>
      <c r="E181" s="232"/>
      <c r="F181" s="41"/>
      <c r="G181" s="213"/>
      <c r="H181" s="41"/>
      <c r="Q181" s="95"/>
    </row>
    <row r="182" spans="1:17" s="79" customFormat="1">
      <c r="A182" s="43"/>
      <c r="B182" s="52"/>
      <c r="C182" s="41"/>
      <c r="D182" s="41"/>
      <c r="E182" s="231"/>
      <c r="F182" s="41"/>
      <c r="G182" s="97"/>
      <c r="H182" s="41"/>
      <c r="Q182" s="95"/>
    </row>
    <row r="183" spans="1:17" s="79" customFormat="1" ht="178.5">
      <c r="A183" s="43" t="s">
        <v>107</v>
      </c>
      <c r="B183" s="10" t="s">
        <v>199</v>
      </c>
      <c r="C183" s="41"/>
      <c r="D183" s="41"/>
      <c r="E183" s="231"/>
      <c r="F183" s="41"/>
      <c r="G183" s="97"/>
      <c r="H183" s="125"/>
      <c r="K183" s="10"/>
      <c r="Q183" s="82"/>
    </row>
    <row r="184" spans="1:17" s="79" customFormat="1">
      <c r="A184" s="43"/>
      <c r="B184" s="52"/>
      <c r="C184" s="41"/>
      <c r="D184" s="41"/>
      <c r="E184" s="231"/>
      <c r="F184" s="41"/>
      <c r="G184" s="97"/>
      <c r="H184" s="125"/>
      <c r="Q184" s="82"/>
    </row>
    <row r="185" spans="1:17" s="79" customFormat="1">
      <c r="A185" s="43"/>
      <c r="B185" s="52" t="s">
        <v>120</v>
      </c>
      <c r="C185" s="216">
        <f>C181</f>
        <v>1</v>
      </c>
      <c r="D185" s="41"/>
      <c r="E185" s="232"/>
      <c r="F185" s="41"/>
      <c r="G185" s="213"/>
      <c r="H185" s="41"/>
      <c r="Q185" s="95"/>
    </row>
    <row r="186" spans="1:17" s="5" customFormat="1">
      <c r="A186" s="6"/>
      <c r="B186" s="10"/>
      <c r="C186" s="2"/>
      <c r="D186" s="2"/>
      <c r="E186" s="231"/>
      <c r="F186" s="2"/>
      <c r="G186" s="105"/>
      <c r="H186" s="2"/>
      <c r="J186" s="122"/>
      <c r="Q186" s="89"/>
    </row>
    <row r="187" spans="1:17" s="5" customFormat="1" ht="165.75">
      <c r="A187" s="6" t="s">
        <v>178</v>
      </c>
      <c r="B187" s="73" t="s">
        <v>182</v>
      </c>
      <c r="C187" s="2"/>
      <c r="D187" s="2"/>
      <c r="E187" s="231"/>
      <c r="F187" s="2"/>
      <c r="G187" s="105"/>
      <c r="H187" s="15"/>
      <c r="K187" s="73"/>
      <c r="Q187" s="89"/>
    </row>
    <row r="188" spans="1:17" s="5" customFormat="1">
      <c r="A188" s="6"/>
      <c r="B188" s="10"/>
      <c r="C188" s="2"/>
      <c r="D188" s="2"/>
      <c r="E188" s="231"/>
      <c r="F188" s="2"/>
      <c r="G188" s="105"/>
      <c r="H188" s="15"/>
      <c r="Q188" s="89"/>
    </row>
    <row r="189" spans="1:17" s="5" customFormat="1">
      <c r="A189" s="6"/>
      <c r="B189" s="10" t="s">
        <v>71</v>
      </c>
      <c r="C189" s="217">
        <v>337</v>
      </c>
      <c r="D189" s="2"/>
      <c r="E189" s="232"/>
      <c r="F189" s="2"/>
      <c r="G189" s="218"/>
      <c r="H189" s="2"/>
      <c r="J189" s="122"/>
      <c r="Q189" s="89"/>
    </row>
    <row r="190" spans="1:17">
      <c r="B190" s="52"/>
      <c r="E190" s="231"/>
      <c r="H190" s="61"/>
      <c r="I190" s="38"/>
      <c r="J190" s="38"/>
      <c r="M190" s="38"/>
      <c r="N190" s="38"/>
      <c r="O190" s="38"/>
    </row>
    <row r="191" spans="1:17" ht="40.5" customHeight="1">
      <c r="A191" s="43" t="s">
        <v>1</v>
      </c>
      <c r="B191" s="52" t="s">
        <v>104</v>
      </c>
      <c r="E191" s="231"/>
      <c r="H191" s="61"/>
    </row>
    <row r="192" spans="1:17">
      <c r="B192" s="52"/>
      <c r="E192" s="231"/>
      <c r="H192" s="61"/>
    </row>
    <row r="193" spans="1:17">
      <c r="B193" s="52" t="s">
        <v>23</v>
      </c>
      <c r="C193" s="214">
        <v>16</v>
      </c>
      <c r="E193" s="232"/>
      <c r="G193" s="213"/>
      <c r="H193" s="41"/>
      <c r="Q193" s="95"/>
    </row>
    <row r="194" spans="1:17">
      <c r="B194" s="52"/>
      <c r="E194" s="231"/>
      <c r="H194" s="41"/>
      <c r="Q194" s="95"/>
    </row>
    <row r="195" spans="1:17" ht="30.75" customHeight="1">
      <c r="A195" s="43" t="s">
        <v>105</v>
      </c>
      <c r="B195" s="52" t="s">
        <v>103</v>
      </c>
      <c r="E195" s="231"/>
      <c r="H195" s="61"/>
    </row>
    <row r="196" spans="1:17">
      <c r="B196" s="52"/>
      <c r="E196" s="231"/>
      <c r="H196" s="49"/>
    </row>
    <row r="197" spans="1:17">
      <c r="B197" s="52" t="s">
        <v>22</v>
      </c>
      <c r="C197" s="214">
        <v>412</v>
      </c>
      <c r="E197" s="230"/>
      <c r="G197" s="213"/>
      <c r="H197" s="41"/>
    </row>
    <row r="198" spans="1:17">
      <c r="B198" s="52"/>
      <c r="C198" s="207" t="s">
        <v>170</v>
      </c>
      <c r="D198" s="203"/>
      <c r="E198" s="235" t="s">
        <v>171</v>
      </c>
      <c r="F198" s="203"/>
      <c r="G198" s="208" t="s">
        <v>164</v>
      </c>
      <c r="H198" s="41"/>
      <c r="Q198" s="95"/>
    </row>
    <row r="199" spans="1:17" ht="42.75" customHeight="1">
      <c r="A199" s="43" t="s">
        <v>2</v>
      </c>
      <c r="B199" s="52" t="s">
        <v>102</v>
      </c>
      <c r="E199" s="231"/>
      <c r="H199" s="61"/>
    </row>
    <row r="200" spans="1:17">
      <c r="B200" s="52"/>
      <c r="E200" s="231"/>
      <c r="H200" s="49"/>
    </row>
    <row r="201" spans="1:17">
      <c r="B201" s="52" t="s">
        <v>22</v>
      </c>
      <c r="C201" s="214">
        <v>412</v>
      </c>
      <c r="E201" s="230"/>
      <c r="G201" s="213"/>
      <c r="H201" s="41"/>
    </row>
    <row r="202" spans="1:17">
      <c r="B202" s="52"/>
      <c r="E202" s="240"/>
      <c r="H202" s="41"/>
    </row>
    <row r="203" spans="1:17" ht="22.5" customHeight="1">
      <c r="A203" s="43" t="s">
        <v>110</v>
      </c>
      <c r="B203" s="52" t="s">
        <v>106</v>
      </c>
      <c r="E203" s="231"/>
      <c r="H203" s="61"/>
    </row>
    <row r="204" spans="1:17">
      <c r="B204" s="52"/>
      <c r="E204" s="231"/>
      <c r="H204" s="49"/>
    </row>
    <row r="205" spans="1:17">
      <c r="B205" s="52" t="s">
        <v>22</v>
      </c>
      <c r="C205" s="214">
        <v>412</v>
      </c>
      <c r="E205" s="230"/>
      <c r="G205" s="213"/>
      <c r="H205" s="41"/>
    </row>
    <row r="206" spans="1:17">
      <c r="B206" s="52"/>
      <c r="H206" s="61"/>
    </row>
    <row r="207" spans="1:17" s="5" customFormat="1">
      <c r="A207" s="6"/>
      <c r="B207" s="10"/>
      <c r="H207" s="15"/>
      <c r="Q207" s="89"/>
    </row>
    <row r="208" spans="1:17" s="64" customFormat="1" ht="63.75">
      <c r="A208" s="43" t="s">
        <v>111</v>
      </c>
      <c r="B208" s="52" t="s">
        <v>9</v>
      </c>
      <c r="C208" s="41"/>
      <c r="D208" s="41"/>
      <c r="E208" s="107"/>
      <c r="F208" s="41"/>
      <c r="G208" s="97"/>
      <c r="H208" s="61"/>
      <c r="I208" s="62"/>
      <c r="J208" s="63"/>
      <c r="M208" s="65"/>
      <c r="N208" s="65"/>
      <c r="O208" s="65"/>
      <c r="Q208" s="82"/>
    </row>
    <row r="209" spans="2:17">
      <c r="B209" s="52"/>
      <c r="C209" s="59"/>
      <c r="D209" s="59"/>
      <c r="E209" s="114"/>
      <c r="F209" s="59"/>
      <c r="G209" s="104"/>
      <c r="H209" s="64"/>
      <c r="Q209" s="87"/>
    </row>
    <row r="210" spans="2:17">
      <c r="B210" s="52" t="s">
        <v>39</v>
      </c>
      <c r="G210" s="213"/>
      <c r="H210" s="41"/>
      <c r="J210" s="97"/>
      <c r="K210" s="97"/>
    </row>
    <row r="211" spans="2:17">
      <c r="B211" s="52"/>
      <c r="H211" s="61"/>
    </row>
    <row r="212" spans="2:17">
      <c r="B212" s="48" t="s">
        <v>24</v>
      </c>
      <c r="C212" s="56"/>
      <c r="D212" s="56"/>
      <c r="E212" s="112"/>
      <c r="F212" s="56"/>
      <c r="G212" s="209"/>
      <c r="Q212" s="86"/>
    </row>
    <row r="213" spans="2:17">
      <c r="H213" s="61"/>
    </row>
    <row r="214" spans="2:17">
      <c r="H214" s="61"/>
    </row>
  </sheetData>
  <sheetProtection selectLockedCells="1"/>
  <mergeCells count="2">
    <mergeCell ref="E22:G22"/>
    <mergeCell ref="E23:G23"/>
  </mergeCells>
  <conditionalFormatting sqref="G14:G17 C41:G61 C64:G64 C66:G85 C90:G93 C95:G109 C113:G118 C120:G134 C138:G159 C167:G177 C179:G197 C199:G205 C210:G212">
    <cfRule type="cellIs" dxfId="25" priority="8" stopIfTrue="1" operator="greaterThan">
      <formula>0</formula>
    </cfRule>
  </conditionalFormatting>
  <pageMargins left="1.1811023622047245" right="0.15748031496062992" top="0.59055118110236227" bottom="0.59055118110236227" header="0.39370078740157483" footer="0.39370078740157483"/>
  <pageSetup paperSize="9" orientation="portrait" useFirstPageNumber="1" r:id="rId1"/>
  <headerFooter alignWithMargins="0">
    <oddHeader>&amp;R&amp;"Arial,Navadno"&amp;9KANAL VS1</oddHeader>
    <oddFooter>&amp;C&amp;"Arial,Navadno"&amp;10&amp;P</oddFooter>
  </headerFooter>
  <rowBreaks count="6" manualBreakCount="6">
    <brk id="33" max="6" man="1"/>
    <brk id="93" max="6" man="1"/>
    <brk id="134" max="6" man="1"/>
    <brk id="162" max="6" man="1"/>
    <brk id="177" max="6" man="1"/>
    <brk id="197" max="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223"/>
  <sheetViews>
    <sheetView view="pageBreakPreview" topLeftCell="A20" zoomScale="60" zoomScaleNormal="100" workbookViewId="0">
      <selection activeCell="E42" sqref="E42:E219"/>
    </sheetView>
  </sheetViews>
  <sheetFormatPr defaultColWidth="8.6640625" defaultRowHeight="15.75"/>
  <cols>
    <col min="1" max="1" width="6.5546875" style="43" customWidth="1"/>
    <col min="2" max="2" width="27.44140625" style="53" customWidth="1"/>
    <col min="3" max="3" width="7.44140625" style="41" customWidth="1"/>
    <col min="4" max="4" width="1.109375" style="41" customWidth="1"/>
    <col min="5" max="5" width="11.109375" style="107" customWidth="1"/>
    <col min="6" max="6" width="3.44140625" style="41" customWidth="1"/>
    <col min="7" max="7" width="14" style="97" customWidth="1"/>
    <col min="8" max="8" width="3.6640625" style="38" customWidth="1"/>
    <col min="9" max="9" width="14.88671875" style="36" customWidth="1"/>
    <col min="10" max="10" width="8.6640625" style="37" customWidth="1"/>
    <col min="11" max="11" width="25.5546875" style="38" customWidth="1"/>
    <col min="12" max="12" width="15.5546875" style="38" customWidth="1"/>
    <col min="13" max="15" width="8.6640625" style="39" customWidth="1"/>
    <col min="16" max="16" width="8.6640625" style="38" customWidth="1"/>
    <col min="17" max="17" width="11.109375" style="82" customWidth="1"/>
    <col min="18" max="16384" width="8.6640625" style="38"/>
  </cols>
  <sheetData>
    <row r="1" spans="1:17" s="79" customFormat="1" ht="15.95" customHeight="1">
      <c r="A1" s="34"/>
      <c r="B1" s="35" t="s">
        <v>11</v>
      </c>
      <c r="C1" s="1" t="s">
        <v>123</v>
      </c>
      <c r="D1" s="33"/>
      <c r="E1" s="33"/>
      <c r="F1" s="2"/>
      <c r="G1" s="96"/>
      <c r="H1" s="78"/>
      <c r="Q1" s="90"/>
    </row>
    <row r="2" spans="1:17" s="79" customFormat="1" ht="15.95" customHeight="1">
      <c r="A2" s="34"/>
      <c r="B2" s="35"/>
      <c r="C2" s="1" t="s">
        <v>124</v>
      </c>
      <c r="D2" s="33"/>
      <c r="E2" s="33"/>
      <c r="F2" s="2"/>
      <c r="G2" s="96"/>
      <c r="H2" s="78"/>
      <c r="Q2" s="90"/>
    </row>
    <row r="3" spans="1:17" s="79" customFormat="1" ht="15.95" customHeight="1">
      <c r="A3" s="34"/>
      <c r="B3" s="35" t="s">
        <v>8</v>
      </c>
      <c r="C3" s="40" t="s">
        <v>211</v>
      </c>
      <c r="D3" s="33"/>
      <c r="E3" s="106"/>
      <c r="F3" s="2"/>
      <c r="G3" s="96"/>
      <c r="H3" s="78"/>
      <c r="Q3" s="90"/>
    </row>
    <row r="4" spans="1:17" s="79" customFormat="1">
      <c r="A4" s="34"/>
      <c r="B4" s="35" t="s">
        <v>12</v>
      </c>
      <c r="C4" s="40" t="s">
        <v>207</v>
      </c>
      <c r="D4" s="41"/>
      <c r="E4" s="107"/>
      <c r="F4" s="41"/>
      <c r="G4" s="97"/>
      <c r="Q4" s="82"/>
    </row>
    <row r="5" spans="1:17" s="79" customFormat="1">
      <c r="A5" s="34"/>
      <c r="B5" s="35" t="s">
        <v>13</v>
      </c>
      <c r="C5" s="1" t="s">
        <v>172</v>
      </c>
      <c r="D5" s="33"/>
      <c r="E5" s="106"/>
      <c r="F5" s="2"/>
      <c r="G5" s="97"/>
      <c r="Q5" s="90"/>
    </row>
    <row r="6" spans="1:17">
      <c r="A6" s="34"/>
      <c r="B6" s="35"/>
      <c r="C6" s="42" t="s">
        <v>173</v>
      </c>
    </row>
    <row r="7" spans="1:17">
      <c r="A7" s="34"/>
      <c r="B7" s="35"/>
      <c r="C7" s="42"/>
    </row>
    <row r="9" spans="1:17" ht="18">
      <c r="A9" s="43" t="s">
        <v>14</v>
      </c>
      <c r="B9" s="44" t="s">
        <v>52</v>
      </c>
      <c r="C9" s="45"/>
      <c r="D9" s="45"/>
      <c r="E9" s="108"/>
      <c r="F9" s="45"/>
      <c r="G9" s="98"/>
      <c r="Q9" s="83"/>
    </row>
    <row r="10" spans="1:17">
      <c r="B10" s="45"/>
      <c r="C10" s="45"/>
      <c r="D10" s="45"/>
      <c r="E10" s="108"/>
      <c r="F10" s="45"/>
      <c r="G10" s="98"/>
      <c r="Q10" s="83"/>
    </row>
    <row r="12" spans="1:17" s="7" customFormat="1">
      <c r="A12" s="8" t="s">
        <v>15</v>
      </c>
      <c r="B12" s="9" t="s">
        <v>16</v>
      </c>
      <c r="C12" s="46"/>
      <c r="E12" s="109"/>
      <c r="G12" s="99"/>
      <c r="I12" s="26"/>
      <c r="J12" s="22"/>
      <c r="M12" s="30"/>
      <c r="N12" s="30"/>
      <c r="O12" s="30"/>
      <c r="Q12" s="91"/>
    </row>
    <row r="13" spans="1:17" s="7" customFormat="1">
      <c r="A13" s="8"/>
      <c r="B13" s="9"/>
      <c r="C13" s="46"/>
      <c r="E13" s="109"/>
      <c r="G13" s="99"/>
      <c r="I13" s="26"/>
      <c r="J13" s="22"/>
      <c r="M13" s="30"/>
      <c r="N13" s="30"/>
      <c r="O13" s="30"/>
      <c r="Q13" s="91"/>
    </row>
    <row r="14" spans="1:17" s="7" customFormat="1">
      <c r="A14" s="47" t="s">
        <v>27</v>
      </c>
      <c r="B14" s="48" t="s">
        <v>26</v>
      </c>
      <c r="C14" s="49"/>
      <c r="D14" s="49"/>
      <c r="E14" s="110"/>
      <c r="F14" s="49"/>
      <c r="G14" s="209"/>
      <c r="H14" s="80"/>
      <c r="I14" s="26"/>
      <c r="J14" s="22"/>
      <c r="K14" s="119"/>
      <c r="M14" s="30"/>
      <c r="N14" s="30"/>
      <c r="O14" s="30"/>
      <c r="Q14" s="84"/>
    </row>
    <row r="15" spans="1:17">
      <c r="A15" s="47" t="s">
        <v>32</v>
      </c>
      <c r="B15" s="48" t="s">
        <v>17</v>
      </c>
      <c r="C15" s="49"/>
      <c r="D15" s="49"/>
      <c r="E15" s="110"/>
      <c r="F15" s="49"/>
      <c r="G15" s="209"/>
      <c r="H15" s="80"/>
      <c r="K15" s="116"/>
      <c r="Q15" s="84"/>
    </row>
    <row r="16" spans="1:17">
      <c r="A16" s="47" t="s">
        <v>42</v>
      </c>
      <c r="B16" s="48" t="s">
        <v>18</v>
      </c>
      <c r="C16" s="49"/>
      <c r="D16" s="49"/>
      <c r="E16" s="110"/>
      <c r="F16" s="49"/>
      <c r="G16" s="209"/>
      <c r="H16" s="80"/>
      <c r="K16" s="116"/>
      <c r="Q16" s="84"/>
    </row>
    <row r="17" spans="1:17" s="79" customFormat="1" ht="31.5">
      <c r="A17" s="47" t="s">
        <v>0</v>
      </c>
      <c r="B17" s="48" t="s">
        <v>40</v>
      </c>
      <c r="C17" s="49"/>
      <c r="D17" s="49"/>
      <c r="E17" s="110"/>
      <c r="F17" s="49"/>
      <c r="G17" s="209"/>
      <c r="H17" s="80"/>
      <c r="Q17" s="84"/>
    </row>
    <row r="18" spans="1:17">
      <c r="A18" s="47"/>
      <c r="B18" s="48"/>
      <c r="C18" s="49"/>
      <c r="D18" s="49"/>
      <c r="E18" s="110"/>
      <c r="F18" s="49"/>
      <c r="G18" s="100"/>
      <c r="K18" s="116"/>
      <c r="Q18" s="84"/>
    </row>
    <row r="19" spans="1:17" ht="16.5" thickBot="1">
      <c r="A19" s="47"/>
      <c r="B19" s="50" t="s">
        <v>53</v>
      </c>
      <c r="C19" s="51"/>
      <c r="D19" s="51"/>
      <c r="E19" s="111"/>
      <c r="F19" s="51"/>
      <c r="G19" s="210"/>
      <c r="H19" s="80"/>
      <c r="K19" s="117"/>
      <c r="Q19" s="85"/>
    </row>
    <row r="23" spans="1:17" ht="15.95" customHeight="1">
      <c r="B23" s="53" t="s">
        <v>81</v>
      </c>
      <c r="E23" s="458" t="s">
        <v>143</v>
      </c>
      <c r="F23" s="458"/>
      <c r="G23" s="458"/>
    </row>
    <row r="24" spans="1:17" ht="84.75" customHeight="1">
      <c r="B24" s="53" t="s">
        <v>84</v>
      </c>
      <c r="E24" s="458" t="s">
        <v>241</v>
      </c>
      <c r="F24" s="458"/>
      <c r="G24" s="458"/>
    </row>
    <row r="26" spans="1:17">
      <c r="B26" s="53" t="s">
        <v>82</v>
      </c>
    </row>
    <row r="27" spans="1:17" ht="63.75">
      <c r="B27" s="53" t="s">
        <v>83</v>
      </c>
    </row>
    <row r="29" spans="1:17">
      <c r="K29" s="53"/>
    </row>
    <row r="30" spans="1:17">
      <c r="K30" s="53"/>
    </row>
    <row r="34" spans="1:17">
      <c r="B34" s="53" t="s">
        <v>166</v>
      </c>
    </row>
    <row r="35" spans="1:17" s="7" customFormat="1">
      <c r="A35" s="43"/>
      <c r="B35" s="53"/>
      <c r="C35" s="41"/>
      <c r="D35" s="41"/>
      <c r="E35" s="107"/>
      <c r="F35" s="41"/>
      <c r="G35" s="97"/>
      <c r="H35" s="38"/>
      <c r="I35" s="26"/>
      <c r="J35" s="22"/>
      <c r="M35" s="30"/>
      <c r="N35" s="30"/>
      <c r="O35" s="30"/>
      <c r="Q35" s="82"/>
    </row>
    <row r="36" spans="1:17">
      <c r="A36" s="11" t="s">
        <v>19</v>
      </c>
      <c r="B36" s="9" t="s">
        <v>16</v>
      </c>
      <c r="C36" s="46"/>
      <c r="D36" s="7"/>
      <c r="E36" s="109"/>
      <c r="F36" s="7"/>
      <c r="G36" s="99"/>
      <c r="H36" s="7"/>
      <c r="Q36" s="91"/>
    </row>
    <row r="37" spans="1:17" s="7" customFormat="1">
      <c r="A37" s="43"/>
      <c r="B37" s="55"/>
      <c r="C37" s="56"/>
      <c r="D37" s="56"/>
      <c r="E37" s="112"/>
      <c r="F37" s="56"/>
      <c r="G37" s="101"/>
      <c r="H37" s="38"/>
      <c r="I37" s="26"/>
      <c r="J37" s="22"/>
      <c r="M37" s="30"/>
      <c r="N37" s="30"/>
      <c r="O37" s="30"/>
      <c r="Q37" s="86"/>
    </row>
    <row r="38" spans="1:17" s="7" customFormat="1">
      <c r="A38" s="11" t="s">
        <v>27</v>
      </c>
      <c r="B38" s="9" t="s">
        <v>26</v>
      </c>
      <c r="C38" s="46"/>
      <c r="E38" s="109"/>
      <c r="G38" s="99"/>
      <c r="I38" s="26"/>
      <c r="J38" s="22"/>
      <c r="M38" s="30"/>
      <c r="N38" s="30"/>
      <c r="O38" s="30"/>
      <c r="Q38" s="91"/>
    </row>
    <row r="39" spans="1:17" s="7" customFormat="1">
      <c r="A39" s="8"/>
      <c r="B39" s="9"/>
      <c r="C39" s="207" t="s">
        <v>170</v>
      </c>
      <c r="D39" s="203"/>
      <c r="E39" s="208" t="s">
        <v>171</v>
      </c>
      <c r="F39" s="203"/>
      <c r="G39" s="208" t="s">
        <v>164</v>
      </c>
      <c r="I39" s="26"/>
      <c r="J39" s="22"/>
      <c r="M39" s="30"/>
      <c r="N39" s="30"/>
      <c r="O39" s="30"/>
      <c r="Q39" s="91"/>
    </row>
    <row r="40" spans="1:17" s="17" customFormat="1" ht="39">
      <c r="A40" s="12" t="s">
        <v>28</v>
      </c>
      <c r="B40" s="13" t="s">
        <v>139</v>
      </c>
      <c r="C40" s="46"/>
      <c r="D40" s="7"/>
      <c r="E40" s="109"/>
      <c r="F40" s="7"/>
      <c r="G40" s="99"/>
      <c r="H40" s="7"/>
      <c r="I40" s="27"/>
      <c r="J40" s="23"/>
      <c r="M40" s="31"/>
      <c r="N40" s="31"/>
      <c r="O40" s="31"/>
      <c r="Q40" s="91"/>
    </row>
    <row r="41" spans="1:17" s="7" customFormat="1">
      <c r="A41" s="18"/>
      <c r="B41" s="13"/>
      <c r="C41" s="57"/>
      <c r="D41" s="17"/>
      <c r="E41" s="113"/>
      <c r="F41" s="17"/>
      <c r="G41" s="102"/>
      <c r="H41" s="17"/>
      <c r="I41" s="26"/>
      <c r="J41" s="22"/>
      <c r="M41" s="30"/>
      <c r="N41" s="30"/>
      <c r="O41" s="30"/>
      <c r="Q41" s="92"/>
    </row>
    <row r="42" spans="1:17" s="7" customFormat="1">
      <c r="A42" s="8"/>
      <c r="B42" s="52" t="s">
        <v>22</v>
      </c>
      <c r="C42" s="214">
        <v>134</v>
      </c>
      <c r="D42" s="41"/>
      <c r="E42" s="230"/>
      <c r="F42" s="81"/>
      <c r="G42" s="213"/>
      <c r="H42" s="81"/>
      <c r="I42" s="26"/>
      <c r="J42" s="22"/>
      <c r="M42" s="30"/>
      <c r="N42" s="30"/>
      <c r="O42" s="30"/>
      <c r="Q42" s="82"/>
    </row>
    <row r="43" spans="1:17" s="7" customFormat="1">
      <c r="A43" s="8"/>
      <c r="B43" s="14"/>
      <c r="C43" s="46"/>
      <c r="E43" s="231"/>
      <c r="G43" s="99"/>
      <c r="I43" s="26"/>
      <c r="J43" s="22"/>
      <c r="M43" s="30"/>
      <c r="N43" s="30"/>
      <c r="O43" s="30"/>
      <c r="Q43" s="91"/>
    </row>
    <row r="44" spans="1:17" s="19" customFormat="1" ht="76.5">
      <c r="A44" s="12" t="s">
        <v>30</v>
      </c>
      <c r="B44" s="127" t="s">
        <v>140</v>
      </c>
      <c r="C44" s="46"/>
      <c r="D44" s="7"/>
      <c r="E44" s="231"/>
      <c r="F44" s="7"/>
      <c r="G44" s="99"/>
      <c r="H44" s="7"/>
      <c r="I44" s="28"/>
      <c r="J44" s="24"/>
      <c r="K44" s="52"/>
      <c r="M44" s="32"/>
      <c r="N44" s="32"/>
      <c r="O44" s="32"/>
      <c r="Q44" s="91"/>
    </row>
    <row r="45" spans="1:17" s="7" customFormat="1">
      <c r="A45" s="20"/>
      <c r="B45" s="52"/>
      <c r="C45" s="58"/>
      <c r="D45" s="19"/>
      <c r="E45" s="231"/>
      <c r="F45" s="19"/>
      <c r="G45" s="103"/>
      <c r="H45" s="19"/>
      <c r="I45" s="26"/>
      <c r="J45" s="22"/>
      <c r="M45" s="30"/>
      <c r="N45" s="30"/>
      <c r="O45" s="30"/>
      <c r="Q45" s="93"/>
    </row>
    <row r="46" spans="1:17" s="7" customFormat="1">
      <c r="A46" s="8"/>
      <c r="B46" s="52" t="s">
        <v>55</v>
      </c>
      <c r="C46" s="214">
        <v>1</v>
      </c>
      <c r="D46" s="41"/>
      <c r="E46" s="232"/>
      <c r="F46" s="81"/>
      <c r="G46" s="213"/>
      <c r="H46" s="81"/>
      <c r="I46" s="26"/>
      <c r="J46" s="22"/>
      <c r="M46" s="30"/>
      <c r="N46" s="30"/>
      <c r="O46" s="30"/>
      <c r="Q46" s="82"/>
    </row>
    <row r="47" spans="1:17" s="7" customFormat="1">
      <c r="A47" s="8"/>
      <c r="B47" s="52"/>
      <c r="C47" s="41"/>
      <c r="D47" s="41"/>
      <c r="E47" s="231"/>
      <c r="F47" s="41"/>
      <c r="G47" s="97"/>
      <c r="H47" s="41"/>
      <c r="I47" s="26"/>
      <c r="J47" s="22"/>
      <c r="M47" s="30"/>
      <c r="N47" s="30"/>
      <c r="O47" s="30"/>
      <c r="Q47" s="82"/>
    </row>
    <row r="48" spans="1:17" s="19" customFormat="1" ht="57" customHeight="1">
      <c r="A48" s="12" t="s">
        <v>31</v>
      </c>
      <c r="B48" s="52" t="s">
        <v>66</v>
      </c>
      <c r="C48" s="46"/>
      <c r="D48" s="7"/>
      <c r="E48" s="237"/>
      <c r="F48" s="7"/>
      <c r="G48" s="99"/>
      <c r="H48" s="7"/>
      <c r="I48" s="28"/>
      <c r="J48" s="24"/>
      <c r="M48" s="32"/>
      <c r="N48" s="32"/>
      <c r="O48" s="32"/>
      <c r="Q48" s="91"/>
    </row>
    <row r="49" spans="1:17" s="7" customFormat="1">
      <c r="A49" s="20"/>
      <c r="B49" s="52"/>
      <c r="C49" s="58"/>
      <c r="D49" s="19"/>
      <c r="E49" s="250"/>
      <c r="F49" s="19"/>
      <c r="G49" s="103"/>
      <c r="H49" s="19"/>
      <c r="I49" s="26"/>
      <c r="J49" s="22"/>
      <c r="M49" s="30"/>
      <c r="N49" s="30"/>
      <c r="O49" s="30"/>
      <c r="Q49" s="93"/>
    </row>
    <row r="50" spans="1:17" s="7" customFormat="1">
      <c r="A50" s="8"/>
      <c r="B50" s="52" t="s">
        <v>23</v>
      </c>
      <c r="C50" s="214">
        <v>2</v>
      </c>
      <c r="D50" s="41"/>
      <c r="E50" s="232"/>
      <c r="F50" s="81"/>
      <c r="G50" s="213"/>
      <c r="H50" s="81"/>
      <c r="I50" s="26"/>
      <c r="J50" s="22"/>
      <c r="M50" s="30"/>
      <c r="N50" s="30"/>
      <c r="O50" s="30"/>
      <c r="Q50" s="82"/>
    </row>
    <row r="51" spans="1:17" s="7" customFormat="1">
      <c r="A51" s="8"/>
      <c r="B51" s="52"/>
      <c r="C51" s="41"/>
      <c r="D51" s="41"/>
      <c r="E51" s="231"/>
      <c r="F51" s="41"/>
      <c r="G51" s="97"/>
      <c r="H51" s="41"/>
      <c r="I51" s="26"/>
      <c r="J51" s="22"/>
      <c r="M51" s="30"/>
      <c r="N51" s="30"/>
      <c r="O51" s="30"/>
      <c r="Q51" s="82"/>
    </row>
    <row r="52" spans="1:17" s="19" customFormat="1" ht="57.75" customHeight="1">
      <c r="A52" s="12" t="s">
        <v>56</v>
      </c>
      <c r="B52" s="52" t="s">
        <v>68</v>
      </c>
      <c r="C52" s="41"/>
      <c r="D52" s="41"/>
      <c r="E52" s="231"/>
      <c r="F52" s="41"/>
      <c r="G52" s="97"/>
      <c r="H52" s="7"/>
      <c r="I52" s="28"/>
      <c r="J52" s="24"/>
      <c r="M52" s="32"/>
      <c r="N52" s="32"/>
      <c r="O52" s="32"/>
      <c r="Q52" s="82"/>
    </row>
    <row r="53" spans="1:17" s="7" customFormat="1">
      <c r="A53" s="20"/>
      <c r="B53" s="52"/>
      <c r="C53" s="59"/>
      <c r="D53" s="59"/>
      <c r="E53" s="231"/>
      <c r="F53" s="59"/>
      <c r="G53" s="104"/>
      <c r="H53" s="19"/>
      <c r="I53" s="26"/>
      <c r="J53" s="22"/>
      <c r="M53" s="30"/>
      <c r="N53" s="30"/>
      <c r="O53" s="30"/>
      <c r="Q53" s="87"/>
    </row>
    <row r="54" spans="1:17" s="7" customFormat="1">
      <c r="A54" s="8"/>
      <c r="B54" s="52" t="s">
        <v>23</v>
      </c>
      <c r="C54" s="214">
        <f>INT(C42/20)+1</f>
        <v>7</v>
      </c>
      <c r="D54" s="41"/>
      <c r="E54" s="232"/>
      <c r="F54" s="81"/>
      <c r="G54" s="213"/>
      <c r="H54" s="81"/>
      <c r="I54" s="26"/>
      <c r="J54" s="22"/>
      <c r="M54" s="30"/>
      <c r="N54" s="30"/>
      <c r="O54" s="30"/>
      <c r="Q54" s="82"/>
    </row>
    <row r="55" spans="1:17" s="7" customFormat="1">
      <c r="A55" s="8"/>
      <c r="B55" s="52"/>
      <c r="C55" s="41"/>
      <c r="D55" s="41"/>
      <c r="E55" s="231"/>
      <c r="F55" s="41"/>
      <c r="G55" s="97"/>
      <c r="H55" s="41"/>
      <c r="I55" s="26"/>
      <c r="J55" s="22"/>
      <c r="M55" s="30"/>
      <c r="N55" s="30"/>
      <c r="O55" s="30"/>
      <c r="Q55" s="82"/>
    </row>
    <row r="56" spans="1:17" s="7" customFormat="1" ht="38.25">
      <c r="A56" s="12" t="s">
        <v>5</v>
      </c>
      <c r="B56" s="52" t="s">
        <v>6</v>
      </c>
      <c r="C56" s="41"/>
      <c r="D56" s="41"/>
      <c r="E56" s="231"/>
      <c r="F56" s="41"/>
      <c r="G56" s="97"/>
      <c r="I56" s="26"/>
      <c r="J56" s="22"/>
      <c r="M56" s="30"/>
      <c r="N56" s="30"/>
      <c r="O56" s="30"/>
      <c r="Q56" s="82"/>
    </row>
    <row r="57" spans="1:17" s="7" customFormat="1">
      <c r="A57" s="20"/>
      <c r="B57" s="52"/>
      <c r="C57" s="59"/>
      <c r="D57" s="59"/>
      <c r="E57" s="233"/>
      <c r="F57" s="59"/>
      <c r="G57" s="104"/>
      <c r="H57" s="19"/>
      <c r="I57" s="26"/>
      <c r="J57" s="22"/>
      <c r="M57" s="30"/>
      <c r="N57" s="30"/>
      <c r="O57" s="30"/>
      <c r="Q57" s="87"/>
    </row>
    <row r="58" spans="1:17" s="7" customFormat="1">
      <c r="A58" s="8"/>
      <c r="B58" s="52" t="s">
        <v>29</v>
      </c>
      <c r="C58" s="214">
        <v>1</v>
      </c>
      <c r="D58" s="41"/>
      <c r="E58" s="232"/>
      <c r="F58" s="81"/>
      <c r="G58" s="213"/>
      <c r="H58" s="81"/>
      <c r="I58" s="26"/>
      <c r="J58" s="22"/>
      <c r="M58" s="30"/>
      <c r="N58" s="30"/>
      <c r="O58" s="30"/>
      <c r="Q58" s="82"/>
    </row>
    <row r="59" spans="1:17" s="7" customFormat="1">
      <c r="A59" s="8"/>
      <c r="B59" s="52"/>
      <c r="C59" s="41"/>
      <c r="D59" s="41"/>
      <c r="E59" s="231"/>
      <c r="F59" s="41"/>
      <c r="G59" s="97"/>
      <c r="H59" s="41"/>
      <c r="I59" s="26"/>
      <c r="J59" s="22"/>
      <c r="M59" s="30"/>
      <c r="N59" s="30"/>
      <c r="O59" s="30"/>
      <c r="Q59" s="82"/>
    </row>
    <row r="60" spans="1:17" s="19" customFormat="1" ht="48" customHeight="1">
      <c r="A60" s="12" t="s">
        <v>75</v>
      </c>
      <c r="B60" s="52" t="s">
        <v>136</v>
      </c>
      <c r="C60" s="41"/>
      <c r="D60" s="41"/>
      <c r="E60" s="231"/>
      <c r="F60" s="41"/>
      <c r="G60" s="97"/>
      <c r="H60" s="7"/>
      <c r="I60" s="28"/>
      <c r="J60" s="24"/>
      <c r="M60" s="32"/>
      <c r="N60" s="32"/>
      <c r="O60" s="32"/>
      <c r="Q60" s="82"/>
    </row>
    <row r="61" spans="1:17" s="7" customFormat="1">
      <c r="A61" s="20"/>
      <c r="B61" s="52"/>
      <c r="C61" s="59"/>
      <c r="D61" s="59"/>
      <c r="E61" s="233"/>
      <c r="F61" s="59"/>
      <c r="G61" s="104"/>
      <c r="H61" s="19"/>
      <c r="I61" s="26"/>
      <c r="J61" s="22"/>
      <c r="M61" s="30"/>
      <c r="N61" s="30"/>
      <c r="O61" s="30"/>
      <c r="Q61" s="87"/>
    </row>
    <row r="62" spans="1:17" s="7" customFormat="1">
      <c r="A62" s="8"/>
      <c r="B62" s="52" t="s">
        <v>23</v>
      </c>
      <c r="C62" s="214">
        <v>1</v>
      </c>
      <c r="D62" s="41"/>
      <c r="E62" s="232"/>
      <c r="F62" s="81"/>
      <c r="G62" s="213"/>
      <c r="H62" s="81"/>
      <c r="I62" s="26"/>
      <c r="J62" s="22"/>
      <c r="M62" s="30"/>
      <c r="N62" s="30"/>
      <c r="O62" s="30"/>
      <c r="Q62" s="82"/>
    </row>
    <row r="63" spans="1:17" s="7" customFormat="1">
      <c r="A63" s="8"/>
      <c r="B63" s="52"/>
      <c r="C63" s="41"/>
      <c r="D63" s="41"/>
      <c r="E63" s="231"/>
      <c r="F63" s="81"/>
      <c r="G63" s="97"/>
      <c r="H63" s="81"/>
      <c r="I63" s="26"/>
      <c r="J63" s="22"/>
      <c r="M63" s="30"/>
      <c r="N63" s="30"/>
      <c r="O63" s="30"/>
      <c r="Q63" s="82"/>
    </row>
    <row r="64" spans="1:17" s="19" customFormat="1" ht="34.5" customHeight="1">
      <c r="A64" s="12" t="s">
        <v>137</v>
      </c>
      <c r="B64" s="52" t="s">
        <v>138</v>
      </c>
      <c r="C64" s="41"/>
      <c r="D64" s="41"/>
      <c r="E64" s="231"/>
      <c r="F64" s="41"/>
      <c r="G64" s="97"/>
      <c r="H64" s="7"/>
      <c r="I64" s="28"/>
      <c r="J64" s="24"/>
      <c r="M64" s="32"/>
      <c r="N64" s="32"/>
      <c r="O64" s="32"/>
      <c r="Q64" s="82"/>
    </row>
    <row r="65" spans="1:17" s="7" customFormat="1">
      <c r="A65" s="20"/>
      <c r="B65" s="52"/>
      <c r="C65" s="59"/>
      <c r="D65" s="59"/>
      <c r="E65" s="233"/>
      <c r="F65" s="59"/>
      <c r="G65" s="104"/>
      <c r="H65" s="19"/>
      <c r="I65" s="26"/>
      <c r="J65" s="22"/>
      <c r="M65" s="30"/>
      <c r="N65" s="30"/>
      <c r="O65" s="30"/>
      <c r="Q65" s="87"/>
    </row>
    <row r="66" spans="1:17" s="7" customFormat="1">
      <c r="A66" s="8"/>
      <c r="B66" s="52" t="s">
        <v>71</v>
      </c>
      <c r="C66" s="214">
        <v>134</v>
      </c>
      <c r="D66" s="41"/>
      <c r="E66" s="232"/>
      <c r="F66" s="81"/>
      <c r="G66" s="213"/>
      <c r="H66" s="81"/>
      <c r="I66" s="26"/>
      <c r="J66" s="22"/>
      <c r="M66" s="30"/>
      <c r="N66" s="30"/>
      <c r="O66" s="30"/>
      <c r="Q66" s="82"/>
    </row>
    <row r="67" spans="1:17" s="7" customFormat="1">
      <c r="A67" s="8"/>
      <c r="B67" s="52"/>
      <c r="C67" s="207" t="s">
        <v>170</v>
      </c>
      <c r="D67" s="203"/>
      <c r="E67" s="235" t="s">
        <v>171</v>
      </c>
      <c r="F67" s="203"/>
      <c r="G67" s="208" t="s">
        <v>164</v>
      </c>
      <c r="H67" s="41"/>
      <c r="I67" s="26"/>
      <c r="J67" s="22"/>
      <c r="M67" s="30"/>
      <c r="N67" s="30"/>
      <c r="O67" s="30"/>
      <c r="Q67" s="82"/>
    </row>
    <row r="68" spans="1:17" s="7" customFormat="1" ht="86.25" customHeight="1">
      <c r="A68" s="12" t="s">
        <v>54</v>
      </c>
      <c r="B68" s="52" t="s">
        <v>212</v>
      </c>
      <c r="C68" s="41"/>
      <c r="D68" s="41"/>
      <c r="E68" s="231"/>
      <c r="F68" s="41"/>
      <c r="G68" s="97"/>
      <c r="I68" s="26"/>
      <c r="J68" s="22"/>
      <c r="M68" s="30"/>
      <c r="N68" s="30"/>
      <c r="O68" s="30"/>
      <c r="Q68" s="82"/>
    </row>
    <row r="69" spans="1:17" s="7" customFormat="1" ht="44.25" customHeight="1">
      <c r="A69" s="8"/>
      <c r="B69" s="52" t="s">
        <v>116</v>
      </c>
      <c r="C69" s="214">
        <v>1</v>
      </c>
      <c r="D69" s="41"/>
      <c r="E69" s="232"/>
      <c r="F69" s="81"/>
      <c r="G69" s="213"/>
      <c r="H69" s="81"/>
      <c r="I69" s="26"/>
      <c r="J69" s="22"/>
      <c r="M69" s="30"/>
      <c r="N69" s="30"/>
      <c r="O69" s="30"/>
      <c r="Q69" s="82"/>
    </row>
    <row r="70" spans="1:17" s="7" customFormat="1" ht="15.95" customHeight="1">
      <c r="A70" s="8"/>
      <c r="B70" s="52"/>
      <c r="C70" s="41"/>
      <c r="D70" s="41"/>
      <c r="E70" s="231"/>
      <c r="F70" s="41"/>
      <c r="G70" s="97"/>
      <c r="I70" s="26"/>
      <c r="J70" s="22"/>
      <c r="M70" s="30"/>
      <c r="N70" s="30"/>
      <c r="O70" s="30"/>
      <c r="Q70" s="82"/>
    </row>
    <row r="71" spans="1:17" s="7" customFormat="1" ht="15.95" customHeight="1">
      <c r="A71" s="12" t="s">
        <v>61</v>
      </c>
      <c r="B71" s="52" t="s">
        <v>62</v>
      </c>
      <c r="C71" s="41"/>
      <c r="D71" s="41"/>
      <c r="E71" s="231"/>
      <c r="F71" s="41"/>
      <c r="G71" s="97"/>
      <c r="I71" s="26"/>
      <c r="J71" s="22"/>
      <c r="M71" s="30"/>
      <c r="N71" s="30"/>
      <c r="O71" s="30"/>
      <c r="Q71" s="82"/>
    </row>
    <row r="72" spans="1:17" s="7" customFormat="1" ht="15.95" customHeight="1">
      <c r="A72" s="20"/>
      <c r="B72" s="52"/>
      <c r="C72" s="59"/>
      <c r="D72" s="59"/>
      <c r="E72" s="233"/>
      <c r="F72" s="59"/>
      <c r="G72" s="104"/>
      <c r="H72" s="19"/>
      <c r="I72" s="26"/>
      <c r="J72" s="22"/>
      <c r="M72" s="30"/>
      <c r="N72" s="30"/>
      <c r="O72" s="30"/>
      <c r="Q72" s="87"/>
    </row>
    <row r="73" spans="1:17" s="7" customFormat="1" ht="15.95" customHeight="1">
      <c r="A73" s="8"/>
      <c r="B73" s="52" t="s">
        <v>41</v>
      </c>
      <c r="C73" s="214">
        <v>4</v>
      </c>
      <c r="D73" s="41"/>
      <c r="E73" s="232"/>
      <c r="F73" s="81"/>
      <c r="G73" s="213"/>
      <c r="H73" s="81"/>
      <c r="I73" s="26"/>
      <c r="J73" s="22"/>
      <c r="M73" s="30"/>
      <c r="N73" s="30"/>
      <c r="O73" s="30"/>
      <c r="Q73" s="82"/>
    </row>
    <row r="74" spans="1:17" s="7" customFormat="1" ht="15.95" customHeight="1">
      <c r="A74" s="8"/>
      <c r="B74" s="52"/>
      <c r="C74" s="41"/>
      <c r="D74" s="41"/>
      <c r="E74" s="231"/>
      <c r="F74" s="41"/>
      <c r="G74" s="97"/>
      <c r="H74" s="41"/>
      <c r="I74" s="26"/>
      <c r="J74" s="22"/>
      <c r="M74" s="30"/>
      <c r="N74" s="30"/>
      <c r="O74" s="30"/>
      <c r="Q74" s="82"/>
    </row>
    <row r="75" spans="1:17" s="7" customFormat="1" ht="89.25" customHeight="1">
      <c r="A75" s="12" t="s">
        <v>73</v>
      </c>
      <c r="B75" s="52" t="s">
        <v>135</v>
      </c>
      <c r="C75" s="41"/>
      <c r="D75" s="41"/>
      <c r="E75" s="231"/>
      <c r="F75" s="41"/>
      <c r="G75" s="97"/>
      <c r="I75" s="26"/>
      <c r="J75" s="22"/>
      <c r="M75" s="30"/>
      <c r="N75" s="30"/>
      <c r="O75" s="30"/>
      <c r="Q75" s="82"/>
    </row>
    <row r="76" spans="1:17" s="7" customFormat="1" ht="15.95" customHeight="1">
      <c r="A76" s="20"/>
      <c r="B76" s="52"/>
      <c r="C76" s="59"/>
      <c r="D76" s="59"/>
      <c r="E76" s="233"/>
      <c r="F76" s="59"/>
      <c r="G76" s="104"/>
      <c r="H76" s="19"/>
      <c r="I76" s="26"/>
      <c r="J76" s="22"/>
      <c r="M76" s="30"/>
      <c r="N76" s="30"/>
      <c r="O76" s="30"/>
      <c r="Q76" s="87"/>
    </row>
    <row r="77" spans="1:17" s="7" customFormat="1" ht="15.95" customHeight="1">
      <c r="A77" s="8"/>
      <c r="B77" s="52" t="s">
        <v>23</v>
      </c>
      <c r="C77" s="214">
        <v>1</v>
      </c>
      <c r="D77" s="41"/>
      <c r="E77" s="232"/>
      <c r="F77" s="81"/>
      <c r="G77" s="213"/>
      <c r="H77" s="81"/>
      <c r="I77" s="26"/>
      <c r="J77" s="22"/>
      <c r="M77" s="30"/>
      <c r="N77" s="30"/>
      <c r="O77" s="30"/>
      <c r="Q77" s="82"/>
    </row>
    <row r="78" spans="1:17" s="7" customFormat="1" ht="15.95" customHeight="1">
      <c r="A78" s="8"/>
      <c r="B78" s="52"/>
      <c r="C78" s="41"/>
      <c r="D78" s="41"/>
      <c r="E78" s="231"/>
      <c r="F78" s="41"/>
      <c r="G78" s="97"/>
      <c r="H78" s="41"/>
      <c r="I78" s="26"/>
      <c r="J78" s="22"/>
      <c r="M78" s="30"/>
      <c r="N78" s="30"/>
      <c r="O78" s="30"/>
      <c r="Q78" s="82"/>
    </row>
    <row r="79" spans="1:17" s="7" customFormat="1" ht="33.950000000000003" customHeight="1">
      <c r="A79" s="12" t="s">
        <v>74</v>
      </c>
      <c r="B79" s="52" t="s">
        <v>10</v>
      </c>
      <c r="C79" s="41"/>
      <c r="D79" s="41"/>
      <c r="E79" s="231"/>
      <c r="F79" s="41"/>
      <c r="G79" s="97"/>
      <c r="I79" s="26"/>
      <c r="J79" s="22"/>
      <c r="M79" s="30"/>
      <c r="N79" s="30"/>
      <c r="O79" s="30"/>
      <c r="Q79" s="82"/>
    </row>
    <row r="80" spans="1:17" s="7" customFormat="1" ht="15.95" customHeight="1">
      <c r="A80" s="20"/>
      <c r="B80" s="52"/>
      <c r="C80" s="59"/>
      <c r="D80" s="59"/>
      <c r="E80" s="233"/>
      <c r="F80" s="59"/>
      <c r="G80" s="104"/>
      <c r="H80" s="19"/>
      <c r="I80" s="26"/>
      <c r="J80" s="22"/>
      <c r="M80" s="30"/>
      <c r="N80" s="30"/>
      <c r="O80" s="30"/>
      <c r="Q80" s="87"/>
    </row>
    <row r="81" spans="1:17" s="7" customFormat="1" ht="15.95" customHeight="1">
      <c r="A81" s="8"/>
      <c r="B81" s="52" t="s">
        <v>23</v>
      </c>
      <c r="C81" s="214">
        <v>1</v>
      </c>
      <c r="D81" s="41"/>
      <c r="E81" s="232"/>
      <c r="F81" s="81"/>
      <c r="G81" s="213"/>
      <c r="H81" s="81"/>
      <c r="I81" s="26"/>
      <c r="J81" s="22"/>
      <c r="M81" s="30"/>
      <c r="N81" s="30"/>
      <c r="O81" s="30"/>
      <c r="Q81" s="82"/>
    </row>
    <row r="82" spans="1:17" s="7" customFormat="1" ht="15.95" customHeight="1">
      <c r="A82" s="8"/>
      <c r="B82" s="52"/>
      <c r="C82" s="41"/>
      <c r="D82" s="41"/>
      <c r="E82" s="231"/>
      <c r="F82" s="41"/>
      <c r="G82" s="97"/>
      <c r="I82" s="26"/>
      <c r="J82" s="22"/>
      <c r="M82" s="30"/>
      <c r="N82" s="30"/>
      <c r="O82" s="30"/>
      <c r="Q82" s="82"/>
    </row>
    <row r="83" spans="1:17" s="7" customFormat="1" ht="31.5">
      <c r="A83" s="11"/>
      <c r="B83" s="60" t="s">
        <v>43</v>
      </c>
      <c r="C83" s="49"/>
      <c r="D83" s="49"/>
      <c r="E83" s="236"/>
      <c r="F83" s="49"/>
      <c r="G83" s="209"/>
      <c r="H83" s="49"/>
      <c r="I83" s="118"/>
      <c r="J83" s="22"/>
      <c r="M83" s="30"/>
      <c r="N83" s="30"/>
      <c r="O83" s="30"/>
      <c r="Q83" s="84"/>
    </row>
    <row r="84" spans="1:17" s="7" customFormat="1">
      <c r="A84" s="11"/>
      <c r="B84" s="60"/>
      <c r="C84" s="49"/>
      <c r="D84" s="49"/>
      <c r="E84" s="236"/>
      <c r="F84" s="49"/>
      <c r="G84" s="100"/>
      <c r="H84" s="49"/>
      <c r="I84" s="26"/>
      <c r="J84" s="22"/>
      <c r="M84" s="30"/>
      <c r="N84" s="30"/>
      <c r="O84" s="30"/>
      <c r="Q84" s="84"/>
    </row>
    <row r="85" spans="1:17" s="7" customFormat="1">
      <c r="A85" s="11" t="s">
        <v>32</v>
      </c>
      <c r="B85" s="9" t="s">
        <v>17</v>
      </c>
      <c r="C85" s="46"/>
      <c r="E85" s="237"/>
      <c r="G85" s="99"/>
      <c r="I85" s="26"/>
      <c r="J85" s="22"/>
      <c r="M85" s="30"/>
      <c r="N85" s="30"/>
      <c r="O85" s="30"/>
      <c r="Q85" s="91"/>
    </row>
    <row r="86" spans="1:17">
      <c r="B86" s="52"/>
      <c r="E86" s="231"/>
      <c r="H86" s="61"/>
    </row>
    <row r="87" spans="1:17" ht="69" customHeight="1">
      <c r="A87" s="43" t="s">
        <v>34</v>
      </c>
      <c r="B87" s="52" t="s">
        <v>133</v>
      </c>
      <c r="E87" s="231"/>
      <c r="H87" s="61"/>
      <c r="J87" s="52"/>
    </row>
    <row r="88" spans="1:17">
      <c r="B88" s="52"/>
      <c r="E88" s="231"/>
      <c r="H88" s="61"/>
    </row>
    <row r="89" spans="1:17">
      <c r="B89" s="52" t="s">
        <v>25</v>
      </c>
      <c r="C89" s="214">
        <f>9.45/0.09</f>
        <v>105</v>
      </c>
      <c r="E89" s="232"/>
      <c r="F89" s="81"/>
      <c r="G89" s="213"/>
      <c r="H89" s="81"/>
    </row>
    <row r="90" spans="1:17">
      <c r="B90" s="52"/>
      <c r="E90" s="231"/>
      <c r="H90" s="61"/>
    </row>
    <row r="91" spans="1:17" ht="83.25" customHeight="1">
      <c r="A91" s="43" t="s">
        <v>35</v>
      </c>
      <c r="B91" s="52" t="s">
        <v>87</v>
      </c>
      <c r="E91" s="231"/>
      <c r="H91" s="61"/>
    </row>
    <row r="92" spans="1:17">
      <c r="B92" s="52"/>
      <c r="E92" s="231"/>
      <c r="H92" s="61"/>
    </row>
    <row r="93" spans="1:17">
      <c r="B93" s="52" t="s">
        <v>20</v>
      </c>
      <c r="C93" s="214">
        <f>C50*0.8</f>
        <v>1.6</v>
      </c>
      <c r="E93" s="232"/>
      <c r="F93" s="81"/>
      <c r="G93" s="213"/>
      <c r="H93" s="81"/>
      <c r="J93" s="36"/>
    </row>
    <row r="94" spans="1:17">
      <c r="B94" s="52"/>
      <c r="E94" s="231"/>
      <c r="H94" s="41"/>
      <c r="J94" s="36"/>
    </row>
    <row r="95" spans="1:17">
      <c r="B95" s="52"/>
      <c r="C95" s="207" t="s">
        <v>170</v>
      </c>
      <c r="D95" s="203"/>
      <c r="E95" s="235" t="s">
        <v>171</v>
      </c>
      <c r="F95" s="203"/>
      <c r="G95" s="208" t="s">
        <v>164</v>
      </c>
      <c r="H95" s="61"/>
    </row>
    <row r="96" spans="1:17" ht="69" customHeight="1">
      <c r="A96" s="43" t="s">
        <v>36</v>
      </c>
      <c r="B96" s="52" t="s">
        <v>88</v>
      </c>
      <c r="E96" s="231"/>
      <c r="H96" s="61"/>
    </row>
    <row r="97" spans="1:17">
      <c r="B97" s="52"/>
      <c r="E97" s="231"/>
      <c r="H97" s="61"/>
    </row>
    <row r="98" spans="1:17" ht="25.5">
      <c r="B98" s="52" t="s">
        <v>141</v>
      </c>
      <c r="E98" s="231"/>
      <c r="H98" s="61"/>
    </row>
    <row r="99" spans="1:17">
      <c r="B99" s="52" t="s">
        <v>20</v>
      </c>
      <c r="C99" s="214">
        <f>302.29*0.8</f>
        <v>241.83200000000002</v>
      </c>
      <c r="E99" s="230"/>
      <c r="F99" s="81"/>
      <c r="G99" s="213"/>
      <c r="H99" s="81"/>
    </row>
    <row r="100" spans="1:17">
      <c r="B100" s="52"/>
      <c r="E100" s="231"/>
      <c r="H100" s="41"/>
      <c r="J100" s="36"/>
    </row>
    <row r="101" spans="1:17">
      <c r="B101" s="52" t="s">
        <v>142</v>
      </c>
      <c r="E101" s="231"/>
      <c r="H101" s="61"/>
    </row>
    <row r="102" spans="1:17">
      <c r="B102" s="52" t="s">
        <v>20</v>
      </c>
      <c r="C102" s="214">
        <f>302.29*0.2</f>
        <v>60.458000000000006</v>
      </c>
      <c r="E102" s="232"/>
      <c r="F102" s="81"/>
      <c r="G102" s="213"/>
      <c r="H102" s="81"/>
    </row>
    <row r="103" spans="1:17">
      <c r="B103" s="52"/>
      <c r="E103" s="231"/>
      <c r="H103" s="61"/>
    </row>
    <row r="104" spans="1:17" ht="67.5" customHeight="1">
      <c r="A104" s="43" t="s">
        <v>37</v>
      </c>
      <c r="B104" s="52" t="s">
        <v>89</v>
      </c>
      <c r="E104" s="231"/>
      <c r="H104" s="61"/>
    </row>
    <row r="105" spans="1:17">
      <c r="B105" s="52"/>
      <c r="E105" s="231"/>
      <c r="H105" s="61"/>
    </row>
    <row r="106" spans="1:17" ht="25.5">
      <c r="B106" s="52" t="s">
        <v>141</v>
      </c>
      <c r="E106" s="231"/>
      <c r="H106" s="61"/>
    </row>
    <row r="107" spans="1:17">
      <c r="B107" s="52" t="s">
        <v>20</v>
      </c>
      <c r="C107" s="214">
        <f>4.09*0.8</f>
        <v>3.2720000000000002</v>
      </c>
      <c r="E107" s="238"/>
      <c r="F107" s="81"/>
      <c r="G107" s="213"/>
      <c r="H107" s="81"/>
    </row>
    <row r="108" spans="1:17">
      <c r="B108" s="52"/>
      <c r="E108" s="231"/>
      <c r="H108" s="41"/>
      <c r="J108" s="36"/>
    </row>
    <row r="109" spans="1:17">
      <c r="B109" s="52" t="s">
        <v>142</v>
      </c>
      <c r="E109" s="231"/>
      <c r="H109" s="61"/>
    </row>
    <row r="110" spans="1:17">
      <c r="B110" s="52" t="s">
        <v>20</v>
      </c>
      <c r="C110" s="214">
        <f>4.09*0.2</f>
        <v>0.81800000000000006</v>
      </c>
      <c r="E110" s="230"/>
      <c r="F110" s="81"/>
      <c r="G110" s="213"/>
      <c r="H110" s="81"/>
    </row>
    <row r="111" spans="1:17" s="68" customFormat="1">
      <c r="A111" s="69"/>
      <c r="B111" s="70"/>
      <c r="C111" s="66"/>
      <c r="D111" s="66"/>
      <c r="E111" s="231"/>
      <c r="F111" s="66"/>
      <c r="G111" s="97"/>
      <c r="H111" s="67"/>
      <c r="Q111" s="88"/>
    </row>
    <row r="112" spans="1:17" s="64" customFormat="1" ht="42" customHeight="1">
      <c r="A112" s="43" t="s">
        <v>45</v>
      </c>
      <c r="B112" s="52" t="s">
        <v>38</v>
      </c>
      <c r="C112" s="41"/>
      <c r="D112" s="41"/>
      <c r="E112" s="231"/>
      <c r="F112" s="41"/>
      <c r="G112" s="97"/>
      <c r="H112" s="61"/>
      <c r="I112" s="62"/>
      <c r="J112" s="63"/>
      <c r="M112" s="65"/>
      <c r="N112" s="65"/>
      <c r="O112" s="65"/>
      <c r="Q112" s="82"/>
    </row>
    <row r="113" spans="1:17">
      <c r="B113" s="52"/>
      <c r="C113" s="59"/>
      <c r="D113" s="59"/>
      <c r="E113" s="231"/>
      <c r="F113" s="59"/>
      <c r="G113" s="104"/>
      <c r="H113" s="64"/>
      <c r="Q113" s="87"/>
    </row>
    <row r="114" spans="1:17">
      <c r="B114" s="52" t="s">
        <v>25</v>
      </c>
      <c r="C114" s="214">
        <f>C42*0.8</f>
        <v>107.2</v>
      </c>
      <c r="E114" s="232"/>
      <c r="G114" s="213"/>
      <c r="H114" s="41"/>
    </row>
    <row r="115" spans="1:17">
      <c r="B115" s="52"/>
      <c r="E115" s="231"/>
      <c r="H115" s="61"/>
    </row>
    <row r="116" spans="1:17" s="64" customFormat="1" ht="147.75" customHeight="1">
      <c r="A116" s="43" t="s">
        <v>46</v>
      </c>
      <c r="B116" s="52" t="s">
        <v>90</v>
      </c>
      <c r="C116" s="41"/>
      <c r="D116" s="41"/>
      <c r="E116" s="231"/>
      <c r="F116" s="41"/>
      <c r="G116" s="97"/>
      <c r="H116" s="61"/>
      <c r="I116" s="62"/>
      <c r="J116" s="63"/>
      <c r="M116" s="65"/>
      <c r="N116" s="65"/>
      <c r="O116" s="65"/>
      <c r="Q116" s="82"/>
    </row>
    <row r="117" spans="1:17">
      <c r="A117" s="71"/>
      <c r="B117" s="52"/>
      <c r="C117" s="59"/>
      <c r="D117" s="59"/>
      <c r="E117" s="231"/>
      <c r="F117" s="59"/>
      <c r="G117" s="104"/>
      <c r="H117" s="64"/>
      <c r="Q117" s="87"/>
    </row>
    <row r="118" spans="1:17">
      <c r="B118" s="52" t="s">
        <v>20</v>
      </c>
      <c r="C118" s="214">
        <v>20.399999999999999</v>
      </c>
      <c r="E118" s="232"/>
      <c r="G118" s="213"/>
      <c r="H118" s="41"/>
    </row>
    <row r="119" spans="1:17">
      <c r="B119" s="52"/>
      <c r="C119" s="207" t="s">
        <v>170</v>
      </c>
      <c r="D119" s="203"/>
      <c r="E119" s="235" t="s">
        <v>171</v>
      </c>
      <c r="F119" s="203"/>
      <c r="G119" s="208" t="s">
        <v>164</v>
      </c>
      <c r="H119" s="61"/>
    </row>
    <row r="120" spans="1:17" s="64" customFormat="1" ht="120" customHeight="1">
      <c r="A120" s="43" t="s">
        <v>47</v>
      </c>
      <c r="B120" s="52" t="s">
        <v>132</v>
      </c>
      <c r="C120" s="41"/>
      <c r="D120" s="41"/>
      <c r="E120" s="231"/>
      <c r="F120" s="41"/>
      <c r="G120" s="97"/>
      <c r="H120" s="61"/>
      <c r="I120" s="62"/>
      <c r="J120" s="63"/>
      <c r="M120" s="65"/>
      <c r="N120" s="65"/>
      <c r="O120" s="65"/>
      <c r="Q120" s="82"/>
    </row>
    <row r="121" spans="1:17">
      <c r="A121" s="71"/>
      <c r="B121" s="52"/>
      <c r="C121" s="59"/>
      <c r="D121" s="59"/>
      <c r="E121" s="231"/>
      <c r="F121" s="59"/>
      <c r="G121" s="104"/>
      <c r="H121" s="64"/>
      <c r="Q121" s="87"/>
    </row>
    <row r="122" spans="1:17">
      <c r="B122" s="52" t="s">
        <v>20</v>
      </c>
      <c r="C122" s="214">
        <v>63.6</v>
      </c>
      <c r="E122" s="232"/>
      <c r="G122" s="213"/>
      <c r="H122" s="41"/>
    </row>
    <row r="123" spans="1:17">
      <c r="B123" s="52"/>
      <c r="E123" s="231"/>
      <c r="H123" s="61"/>
    </row>
    <row r="124" spans="1:17" ht="96" customHeight="1">
      <c r="A124" s="43" t="s">
        <v>48</v>
      </c>
      <c r="B124" s="52" t="s">
        <v>91</v>
      </c>
      <c r="E124" s="231"/>
      <c r="H124" s="61"/>
    </row>
    <row r="125" spans="1:17">
      <c r="A125" s="71"/>
      <c r="B125" s="52"/>
      <c r="E125" s="231"/>
      <c r="H125" s="61"/>
    </row>
    <row r="126" spans="1:17">
      <c r="B126" s="52" t="s">
        <v>20</v>
      </c>
      <c r="C126" s="214">
        <f>170.84*1</f>
        <v>170.84</v>
      </c>
      <c r="E126" s="232"/>
      <c r="G126" s="213"/>
      <c r="H126" s="41"/>
    </row>
    <row r="127" spans="1:17">
      <c r="B127" s="52"/>
      <c r="E127" s="231"/>
      <c r="H127" s="61"/>
      <c r="I127" s="38"/>
      <c r="J127" s="38"/>
      <c r="M127" s="38"/>
      <c r="N127" s="38"/>
      <c r="O127" s="38"/>
    </row>
    <row r="128" spans="1:17" ht="114.75">
      <c r="A128" s="43" t="s">
        <v>50</v>
      </c>
      <c r="B128" s="52" t="s">
        <v>177</v>
      </c>
      <c r="E128" s="231"/>
      <c r="H128" s="61"/>
      <c r="K128" s="52"/>
    </row>
    <row r="129" spans="1:11">
      <c r="A129" s="71"/>
      <c r="B129" s="52"/>
      <c r="E129" s="231"/>
      <c r="H129" s="61"/>
    </row>
    <row r="130" spans="1:11">
      <c r="B130" s="52" t="s">
        <v>20</v>
      </c>
      <c r="C130" s="214">
        <v>44.3</v>
      </c>
      <c r="E130" s="232"/>
      <c r="G130" s="213"/>
      <c r="H130" s="41"/>
    </row>
    <row r="131" spans="1:11">
      <c r="B131" s="52"/>
      <c r="C131" s="207" t="s">
        <v>170</v>
      </c>
      <c r="D131" s="203"/>
      <c r="E131" s="235" t="s">
        <v>171</v>
      </c>
      <c r="F131" s="203"/>
      <c r="G131" s="208" t="s">
        <v>164</v>
      </c>
      <c r="H131" s="61"/>
    </row>
    <row r="132" spans="1:11" ht="335.25" customHeight="1">
      <c r="A132" s="43" t="s">
        <v>51</v>
      </c>
      <c r="B132" s="16" t="s">
        <v>168</v>
      </c>
      <c r="E132" s="231"/>
      <c r="H132" s="61"/>
    </row>
    <row r="133" spans="1:11">
      <c r="A133" s="71"/>
      <c r="B133" s="72"/>
      <c r="E133" s="231"/>
      <c r="H133" s="61"/>
    </row>
    <row r="134" spans="1:11">
      <c r="B134" s="52" t="s">
        <v>25</v>
      </c>
      <c r="C134" s="214">
        <f>C89</f>
        <v>105</v>
      </c>
      <c r="E134" s="230"/>
      <c r="G134" s="213"/>
      <c r="H134" s="41"/>
    </row>
    <row r="135" spans="1:11">
      <c r="B135" s="52"/>
      <c r="E135" s="231"/>
      <c r="H135" s="41"/>
    </row>
    <row r="136" spans="1:11" ht="55.7" customHeight="1">
      <c r="A136" s="43" t="s">
        <v>67</v>
      </c>
      <c r="B136" s="16" t="s">
        <v>249</v>
      </c>
      <c r="E136" s="231"/>
      <c r="H136" s="61"/>
    </row>
    <row r="137" spans="1:11">
      <c r="A137" s="71"/>
      <c r="B137" s="72"/>
      <c r="E137" s="231"/>
      <c r="H137" s="61"/>
    </row>
    <row r="138" spans="1:11">
      <c r="B138" s="52" t="s">
        <v>25</v>
      </c>
      <c r="C138" s="41">
        <v>50</v>
      </c>
      <c r="E138" s="232"/>
      <c r="G138" s="213"/>
      <c r="H138" s="41"/>
    </row>
    <row r="139" spans="1:11">
      <c r="B139" s="52"/>
      <c r="E139" s="231"/>
      <c r="H139" s="61"/>
    </row>
    <row r="140" spans="1:11" ht="25.5">
      <c r="A140" s="43" t="s">
        <v>63</v>
      </c>
      <c r="B140" s="72" t="s">
        <v>248</v>
      </c>
      <c r="E140" s="231"/>
      <c r="H140" s="61"/>
      <c r="K140" s="121"/>
    </row>
    <row r="141" spans="1:11">
      <c r="A141" s="71"/>
      <c r="B141" s="72"/>
      <c r="E141" s="231"/>
      <c r="H141" s="61"/>
    </row>
    <row r="142" spans="1:11">
      <c r="B142" s="52" t="s">
        <v>25</v>
      </c>
      <c r="C142" s="214">
        <f>6.16/0.05</f>
        <v>123.2</v>
      </c>
      <c r="E142" s="232"/>
      <c r="G142" s="213"/>
      <c r="H142" s="41"/>
    </row>
    <row r="143" spans="1:11">
      <c r="B143" s="52"/>
      <c r="E143" s="231"/>
      <c r="H143" s="61"/>
    </row>
    <row r="144" spans="1:11" ht="116.25">
      <c r="A144" s="43" t="s">
        <v>57</v>
      </c>
      <c r="B144" s="52" t="s">
        <v>96</v>
      </c>
      <c r="E144" s="231"/>
      <c r="H144" s="61"/>
    </row>
    <row r="145" spans="1:17">
      <c r="B145" s="52"/>
      <c r="E145" s="231"/>
      <c r="H145" s="61"/>
    </row>
    <row r="146" spans="1:17">
      <c r="B146" s="52" t="s">
        <v>20</v>
      </c>
      <c r="C146" s="214">
        <f>(306.38)*1.3</f>
        <v>398.29399999999998</v>
      </c>
      <c r="E146" s="232"/>
      <c r="G146" s="213"/>
      <c r="H146" s="41"/>
    </row>
    <row r="147" spans="1:17">
      <c r="B147" s="52"/>
      <c r="E147" s="231"/>
      <c r="H147" s="61"/>
    </row>
    <row r="148" spans="1:17">
      <c r="B148" s="52"/>
      <c r="C148" s="207" t="s">
        <v>170</v>
      </c>
      <c r="D148" s="203"/>
      <c r="E148" s="235" t="s">
        <v>171</v>
      </c>
      <c r="F148" s="203"/>
      <c r="G148" s="208" t="s">
        <v>164</v>
      </c>
      <c r="H148" s="61"/>
    </row>
    <row r="149" spans="1:17" ht="55.7" customHeight="1">
      <c r="A149" s="43" t="s">
        <v>64</v>
      </c>
      <c r="B149" s="52" t="s">
        <v>97</v>
      </c>
      <c r="E149" s="231"/>
      <c r="H149" s="61"/>
    </row>
    <row r="150" spans="1:17">
      <c r="B150" s="52"/>
      <c r="E150" s="231"/>
      <c r="H150" s="61"/>
    </row>
    <row r="151" spans="1:17">
      <c r="B151" s="52" t="s">
        <v>41</v>
      </c>
      <c r="C151" s="214">
        <v>2</v>
      </c>
      <c r="E151" s="232"/>
      <c r="G151" s="213"/>
      <c r="H151" s="41"/>
    </row>
    <row r="152" spans="1:17">
      <c r="B152" s="52"/>
      <c r="E152" s="231"/>
      <c r="H152" s="61"/>
    </row>
    <row r="153" spans="1:17" s="64" customFormat="1" ht="63.75">
      <c r="A153" s="43" t="s">
        <v>65</v>
      </c>
      <c r="B153" s="52" t="s">
        <v>7</v>
      </c>
      <c r="C153" s="41"/>
      <c r="D153" s="41"/>
      <c r="E153" s="231"/>
      <c r="F153" s="41"/>
      <c r="G153" s="97"/>
      <c r="H153" s="61"/>
      <c r="I153" s="62"/>
      <c r="J153" s="63"/>
      <c r="M153" s="65"/>
      <c r="N153" s="65"/>
      <c r="O153" s="65"/>
      <c r="Q153" s="82"/>
    </row>
    <row r="154" spans="1:17">
      <c r="B154" s="52"/>
      <c r="C154" s="59"/>
      <c r="D154" s="59"/>
      <c r="E154" s="233"/>
      <c r="F154" s="59"/>
      <c r="G154" s="104"/>
      <c r="H154" s="64"/>
      <c r="Q154" s="87"/>
    </row>
    <row r="155" spans="1:17">
      <c r="B155" s="52" t="s">
        <v>39</v>
      </c>
      <c r="E155" s="231"/>
      <c r="G155" s="213"/>
      <c r="H155" s="41"/>
    </row>
    <row r="156" spans="1:17">
      <c r="B156" s="52"/>
      <c r="E156" s="231"/>
      <c r="H156" s="61"/>
    </row>
    <row r="157" spans="1:17" s="7" customFormat="1">
      <c r="A157" s="43"/>
      <c r="B157" s="60" t="s">
        <v>21</v>
      </c>
      <c r="C157" s="56"/>
      <c r="D157" s="56"/>
      <c r="E157" s="239"/>
      <c r="F157" s="56"/>
      <c r="G157" s="209"/>
      <c r="H157" s="49"/>
      <c r="I157" s="26"/>
      <c r="J157" s="22"/>
      <c r="M157" s="30"/>
      <c r="N157" s="30"/>
      <c r="O157" s="30"/>
      <c r="Q157" s="86"/>
    </row>
    <row r="158" spans="1:17" ht="15.95" customHeight="1">
      <c r="A158" s="47"/>
      <c r="B158" s="9"/>
      <c r="C158" s="56"/>
      <c r="D158" s="56"/>
      <c r="E158" s="239"/>
      <c r="F158" s="56"/>
      <c r="G158" s="100"/>
      <c r="Q158" s="86"/>
    </row>
    <row r="159" spans="1:17">
      <c r="A159" s="11" t="s">
        <v>42</v>
      </c>
      <c r="B159" s="9" t="s">
        <v>18</v>
      </c>
      <c r="C159" s="46"/>
      <c r="D159" s="7"/>
      <c r="E159" s="237"/>
      <c r="F159" s="7"/>
      <c r="G159" s="99"/>
      <c r="H159" s="7"/>
      <c r="Q159" s="91"/>
    </row>
    <row r="160" spans="1:17">
      <c r="A160" s="11"/>
      <c r="B160" s="9"/>
      <c r="C160" s="46"/>
      <c r="D160" s="7"/>
      <c r="E160" s="237"/>
      <c r="F160" s="7"/>
      <c r="G160" s="99"/>
      <c r="H160" s="7"/>
      <c r="Q160" s="91"/>
    </row>
    <row r="161" spans="1:17" ht="43.5" customHeight="1">
      <c r="A161" s="43" t="s">
        <v>112</v>
      </c>
      <c r="B161" s="73" t="s">
        <v>98</v>
      </c>
      <c r="E161" s="231"/>
      <c r="H161" s="61"/>
    </row>
    <row r="162" spans="1:17">
      <c r="B162" s="52"/>
      <c r="E162" s="231"/>
      <c r="H162" s="61"/>
    </row>
    <row r="163" spans="1:17">
      <c r="B163" s="52" t="s">
        <v>22</v>
      </c>
      <c r="C163" s="214">
        <v>133</v>
      </c>
      <c r="E163" s="232"/>
      <c r="G163" s="213"/>
      <c r="H163" s="41"/>
    </row>
    <row r="164" spans="1:17">
      <c r="B164" s="52"/>
      <c r="C164" s="120"/>
      <c r="E164" s="231"/>
      <c r="H164" s="41"/>
    </row>
    <row r="165" spans="1:17" ht="97.5" customHeight="1">
      <c r="A165" s="43" t="s">
        <v>78</v>
      </c>
      <c r="B165" s="73" t="s">
        <v>99</v>
      </c>
      <c r="E165" s="231"/>
      <c r="H165" s="61"/>
    </row>
    <row r="166" spans="1:17">
      <c r="B166" s="52"/>
      <c r="E166" s="231"/>
      <c r="H166" s="61"/>
    </row>
    <row r="167" spans="1:17">
      <c r="B167" s="52" t="s">
        <v>22</v>
      </c>
      <c r="C167" s="214">
        <v>133</v>
      </c>
      <c r="E167" s="230"/>
      <c r="G167" s="213"/>
      <c r="H167" s="41"/>
    </row>
    <row r="168" spans="1:17">
      <c r="B168" s="52"/>
      <c r="C168" s="66"/>
      <c r="E168" s="231"/>
      <c r="H168" s="61"/>
    </row>
    <row r="169" spans="1:17" ht="72" customHeight="1">
      <c r="A169" s="43" t="s">
        <v>60</v>
      </c>
      <c r="B169" s="52" t="s">
        <v>213</v>
      </c>
      <c r="E169" s="231"/>
      <c r="H169" s="61"/>
      <c r="I169" s="38"/>
      <c r="J169" s="38"/>
      <c r="M169" s="38"/>
      <c r="N169" s="38"/>
      <c r="O169" s="38"/>
    </row>
    <row r="170" spans="1:17">
      <c r="B170" s="52"/>
      <c r="E170" s="231"/>
      <c r="H170" s="61"/>
      <c r="I170" s="38"/>
      <c r="J170" s="38"/>
      <c r="M170" s="38"/>
      <c r="N170" s="38"/>
      <c r="O170" s="38"/>
    </row>
    <row r="171" spans="1:17">
      <c r="B171" s="52" t="s">
        <v>59</v>
      </c>
      <c r="C171" s="41">
        <v>4</v>
      </c>
      <c r="E171" s="230"/>
      <c r="G171" s="213"/>
      <c r="H171" s="41"/>
      <c r="I171" s="38"/>
      <c r="J171" s="38"/>
      <c r="M171" s="38"/>
      <c r="N171" s="38"/>
      <c r="O171" s="38"/>
    </row>
    <row r="172" spans="1:17">
      <c r="B172" s="52"/>
      <c r="C172" s="207" t="s">
        <v>170</v>
      </c>
      <c r="D172" s="203"/>
      <c r="E172" s="235" t="s">
        <v>171</v>
      </c>
      <c r="F172" s="203"/>
      <c r="G172" s="208" t="s">
        <v>164</v>
      </c>
      <c r="H172" s="41"/>
      <c r="I172" s="38"/>
      <c r="J172" s="38"/>
      <c r="M172" s="38"/>
      <c r="N172" s="38"/>
      <c r="O172" s="38"/>
    </row>
    <row r="173" spans="1:17" s="79" customFormat="1" ht="102">
      <c r="A173" s="43" t="s">
        <v>101</v>
      </c>
      <c r="B173" s="10" t="s">
        <v>195</v>
      </c>
      <c r="C173" s="41"/>
      <c r="D173" s="41"/>
      <c r="E173" s="231"/>
      <c r="F173" s="41"/>
      <c r="G173" s="97"/>
      <c r="H173" s="125"/>
      <c r="K173" s="10"/>
      <c r="Q173" s="82"/>
    </row>
    <row r="174" spans="1:17" s="79" customFormat="1">
      <c r="A174" s="43"/>
      <c r="B174" s="10"/>
      <c r="C174" s="41"/>
      <c r="D174" s="41"/>
      <c r="E174" s="231"/>
      <c r="F174" s="41"/>
      <c r="G174" s="97"/>
      <c r="H174" s="125"/>
      <c r="K174" s="10"/>
      <c r="Q174" s="82"/>
    </row>
    <row r="175" spans="1:17" s="79" customFormat="1">
      <c r="A175" s="43"/>
      <c r="B175" s="52" t="s">
        <v>117</v>
      </c>
      <c r="C175" s="216">
        <v>7</v>
      </c>
      <c r="D175" s="41"/>
      <c r="E175" s="232"/>
      <c r="F175" s="41"/>
      <c r="G175" s="213"/>
      <c r="H175" s="41"/>
      <c r="Q175" s="95"/>
    </row>
    <row r="176" spans="1:17" s="79" customFormat="1">
      <c r="A176" s="43"/>
      <c r="B176" s="52"/>
      <c r="C176" s="124"/>
      <c r="D176" s="41"/>
      <c r="E176" s="231"/>
      <c r="F176" s="41"/>
      <c r="G176" s="97"/>
      <c r="H176" s="41"/>
      <c r="Q176" s="95"/>
    </row>
    <row r="177" spans="1:17" s="79" customFormat="1" ht="165.75">
      <c r="A177" s="43" t="s">
        <v>79</v>
      </c>
      <c r="B177" s="10" t="s">
        <v>194</v>
      </c>
      <c r="C177" s="41"/>
      <c r="D177" s="41"/>
      <c r="E177" s="231"/>
      <c r="F177" s="41"/>
      <c r="G177" s="97"/>
      <c r="H177" s="125"/>
      <c r="K177" s="10"/>
      <c r="Q177" s="82"/>
    </row>
    <row r="178" spans="1:17" s="79" customFormat="1">
      <c r="A178" s="43"/>
      <c r="B178" s="52"/>
      <c r="C178" s="41"/>
      <c r="D178" s="41"/>
      <c r="E178" s="231"/>
      <c r="F178" s="41"/>
      <c r="G178" s="97"/>
      <c r="H178" s="125"/>
      <c r="Q178" s="82"/>
    </row>
    <row r="179" spans="1:17" s="79" customFormat="1">
      <c r="A179" s="43"/>
      <c r="B179" s="52" t="s">
        <v>117</v>
      </c>
      <c r="C179" s="216">
        <f>C175</f>
        <v>7</v>
      </c>
      <c r="D179" s="41"/>
      <c r="E179" s="232"/>
      <c r="F179" s="41"/>
      <c r="G179" s="213"/>
      <c r="H179" s="41"/>
      <c r="Q179" s="95"/>
    </row>
    <row r="180" spans="1:17" s="79" customFormat="1">
      <c r="A180" s="43"/>
      <c r="B180" s="52"/>
      <c r="C180" s="124"/>
      <c r="D180" s="41"/>
      <c r="E180" s="231"/>
      <c r="F180" s="41"/>
      <c r="G180" s="97"/>
      <c r="H180" s="41"/>
      <c r="Q180" s="95"/>
    </row>
    <row r="181" spans="1:17" s="79" customFormat="1" ht="114.75">
      <c r="A181" s="43" t="s">
        <v>113</v>
      </c>
      <c r="B181" s="10" t="s">
        <v>204</v>
      </c>
      <c r="C181" s="41"/>
      <c r="D181" s="41"/>
      <c r="E181" s="231"/>
      <c r="F181" s="41"/>
      <c r="G181" s="97"/>
      <c r="H181" s="125"/>
      <c r="K181" s="10"/>
      <c r="Q181" s="82"/>
    </row>
    <row r="182" spans="1:17" s="79" customFormat="1">
      <c r="A182" s="43"/>
      <c r="B182" s="10"/>
      <c r="C182" s="41"/>
      <c r="D182" s="41"/>
      <c r="E182" s="231"/>
      <c r="F182" s="41"/>
      <c r="G182" s="97"/>
      <c r="H182" s="125"/>
      <c r="K182" s="10"/>
      <c r="Q182" s="82"/>
    </row>
    <row r="183" spans="1:17" s="79" customFormat="1">
      <c r="A183" s="43"/>
      <c r="B183" s="52" t="s">
        <v>118</v>
      </c>
      <c r="C183" s="124">
        <v>1</v>
      </c>
      <c r="D183" s="41"/>
      <c r="E183" s="232"/>
      <c r="F183" s="41"/>
      <c r="G183" s="213"/>
      <c r="H183" s="41"/>
      <c r="Q183" s="95"/>
    </row>
    <row r="184" spans="1:17" s="79" customFormat="1">
      <c r="A184" s="43"/>
      <c r="B184" s="52"/>
      <c r="C184" s="124"/>
      <c r="D184" s="41"/>
      <c r="E184" s="231"/>
      <c r="F184" s="41"/>
      <c r="G184" s="97"/>
      <c r="H184" s="41"/>
      <c r="Q184" s="95"/>
    </row>
    <row r="185" spans="1:17" s="79" customFormat="1" ht="178.5">
      <c r="A185" s="43" t="s">
        <v>77</v>
      </c>
      <c r="B185" s="10" t="s">
        <v>205</v>
      </c>
      <c r="C185" s="41"/>
      <c r="D185" s="41"/>
      <c r="E185" s="231"/>
      <c r="F185" s="41"/>
      <c r="G185" s="97"/>
      <c r="H185" s="125"/>
      <c r="K185" s="10"/>
      <c r="Q185" s="82"/>
    </row>
    <row r="186" spans="1:17" s="79" customFormat="1">
      <c r="A186" s="43"/>
      <c r="B186" s="52"/>
      <c r="C186" s="41"/>
      <c r="D186" s="41"/>
      <c r="E186" s="231"/>
      <c r="F186" s="41"/>
      <c r="G186" s="97"/>
      <c r="H186" s="125"/>
      <c r="Q186" s="82"/>
    </row>
    <row r="187" spans="1:17" s="79" customFormat="1">
      <c r="A187" s="43"/>
      <c r="B187" s="52" t="s">
        <v>118</v>
      </c>
      <c r="C187" s="216">
        <f>C183</f>
        <v>1</v>
      </c>
      <c r="D187" s="41"/>
      <c r="E187" s="232"/>
      <c r="F187" s="41"/>
      <c r="G187" s="213"/>
      <c r="H187" s="41"/>
      <c r="Q187" s="95"/>
    </row>
    <row r="188" spans="1:17" s="5" customFormat="1">
      <c r="A188" s="6"/>
      <c r="B188" s="10"/>
      <c r="C188" s="207" t="s">
        <v>170</v>
      </c>
      <c r="D188" s="203"/>
      <c r="E188" s="235" t="s">
        <v>171</v>
      </c>
      <c r="F188" s="203"/>
      <c r="G188" s="208" t="s">
        <v>164</v>
      </c>
      <c r="H188" s="2"/>
      <c r="Q188" s="89"/>
    </row>
    <row r="189" spans="1:17" s="5" customFormat="1" ht="191.25">
      <c r="A189" s="6" t="s">
        <v>109</v>
      </c>
      <c r="B189" s="126" t="s">
        <v>167</v>
      </c>
      <c r="C189" s="2"/>
      <c r="D189" s="2"/>
      <c r="E189" s="231"/>
      <c r="F189" s="2"/>
      <c r="G189" s="105"/>
      <c r="H189" s="15"/>
      <c r="K189" s="10"/>
      <c r="Q189" s="89"/>
    </row>
    <row r="190" spans="1:17" s="5" customFormat="1">
      <c r="A190" s="6"/>
      <c r="B190" s="10"/>
      <c r="C190" s="2"/>
      <c r="D190" s="2"/>
      <c r="E190" s="231"/>
      <c r="F190" s="2"/>
      <c r="G190" s="105"/>
      <c r="H190" s="15"/>
      <c r="Q190" s="89"/>
    </row>
    <row r="191" spans="1:17" s="5" customFormat="1">
      <c r="A191" s="6"/>
      <c r="B191" s="10" t="s">
        <v>23</v>
      </c>
      <c r="C191" s="217">
        <v>4</v>
      </c>
      <c r="D191" s="2"/>
      <c r="E191" s="232"/>
      <c r="F191" s="2"/>
      <c r="G191" s="218"/>
      <c r="H191" s="2"/>
      <c r="J191" s="122"/>
      <c r="Q191" s="89"/>
    </row>
    <row r="192" spans="1:17">
      <c r="B192" s="52"/>
      <c r="E192" s="231"/>
      <c r="H192" s="61"/>
      <c r="I192" s="38"/>
      <c r="J192" s="38"/>
      <c r="M192" s="38"/>
      <c r="N192" s="38"/>
      <c r="O192" s="38"/>
    </row>
    <row r="193" spans="1:17" ht="40.5" customHeight="1">
      <c r="A193" s="43" t="s">
        <v>1</v>
      </c>
      <c r="B193" s="52" t="s">
        <v>104</v>
      </c>
      <c r="E193" s="231"/>
      <c r="H193" s="61"/>
    </row>
    <row r="194" spans="1:17">
      <c r="B194" s="52"/>
      <c r="E194" s="231"/>
      <c r="H194" s="61"/>
    </row>
    <row r="195" spans="1:17">
      <c r="B195" s="52" t="s">
        <v>23</v>
      </c>
      <c r="C195" s="214">
        <v>8</v>
      </c>
      <c r="E195" s="232"/>
      <c r="G195" s="213"/>
      <c r="H195" s="41"/>
      <c r="Q195" s="95"/>
    </row>
    <row r="196" spans="1:17">
      <c r="B196" s="52"/>
      <c r="E196" s="231"/>
      <c r="H196" s="41"/>
      <c r="Q196" s="95"/>
    </row>
    <row r="197" spans="1:17" ht="30.75" customHeight="1">
      <c r="A197" s="43" t="s">
        <v>105</v>
      </c>
      <c r="B197" s="52" t="s">
        <v>103</v>
      </c>
      <c r="E197" s="231"/>
      <c r="H197" s="61"/>
    </row>
    <row r="198" spans="1:17">
      <c r="B198" s="52"/>
      <c r="E198" s="231"/>
      <c r="H198" s="49"/>
    </row>
    <row r="199" spans="1:17">
      <c r="B199" s="52" t="s">
        <v>22</v>
      </c>
      <c r="C199" s="214">
        <v>133</v>
      </c>
      <c r="E199" s="230"/>
      <c r="G199" s="213"/>
      <c r="H199" s="41"/>
    </row>
    <row r="200" spans="1:17">
      <c r="B200" s="52"/>
      <c r="E200" s="231"/>
      <c r="H200" s="41"/>
      <c r="Q200" s="95"/>
    </row>
    <row r="201" spans="1:17" ht="42.75" customHeight="1">
      <c r="A201" s="43" t="s">
        <v>2</v>
      </c>
      <c r="B201" s="52" t="s">
        <v>102</v>
      </c>
      <c r="E201" s="231"/>
      <c r="H201" s="61"/>
    </row>
    <row r="202" spans="1:17">
      <c r="B202" s="52"/>
      <c r="E202" s="231"/>
      <c r="H202" s="49"/>
    </row>
    <row r="203" spans="1:17">
      <c r="B203" s="52" t="s">
        <v>22</v>
      </c>
      <c r="C203" s="214">
        <v>133</v>
      </c>
      <c r="E203" s="230"/>
      <c r="G203" s="213"/>
      <c r="H203" s="41"/>
    </row>
    <row r="204" spans="1:17">
      <c r="B204" s="52"/>
      <c r="E204" s="240"/>
      <c r="H204" s="41"/>
    </row>
    <row r="205" spans="1:17" ht="22.5" customHeight="1">
      <c r="A205" s="43" t="s">
        <v>110</v>
      </c>
      <c r="B205" s="52" t="s">
        <v>106</v>
      </c>
      <c r="E205" s="231"/>
      <c r="H205" s="61"/>
    </row>
    <row r="206" spans="1:17">
      <c r="B206" s="52"/>
      <c r="E206" s="231"/>
      <c r="H206" s="49"/>
    </row>
    <row r="207" spans="1:17">
      <c r="B207" s="52" t="s">
        <v>22</v>
      </c>
      <c r="C207" s="214">
        <v>133</v>
      </c>
      <c r="E207" s="230"/>
      <c r="G207" s="213"/>
      <c r="H207" s="41"/>
    </row>
    <row r="208" spans="1:17">
      <c r="B208" s="52"/>
      <c r="E208" s="231"/>
      <c r="H208" s="61"/>
    </row>
    <row r="209" spans="1:17" s="64" customFormat="1" ht="63.75">
      <c r="A209" s="43" t="s">
        <v>111</v>
      </c>
      <c r="B209" s="52" t="s">
        <v>9</v>
      </c>
      <c r="C209" s="41"/>
      <c r="D209" s="41"/>
      <c r="E209" s="231"/>
      <c r="F209" s="41"/>
      <c r="G209" s="97"/>
      <c r="H209" s="61"/>
      <c r="I209" s="62"/>
      <c r="J209" s="63"/>
      <c r="M209" s="65"/>
      <c r="N209" s="65"/>
      <c r="O209" s="65"/>
      <c r="Q209" s="82"/>
    </row>
    <row r="210" spans="1:17">
      <c r="B210" s="52"/>
      <c r="C210" s="59"/>
      <c r="D210" s="59"/>
      <c r="E210" s="233"/>
      <c r="F210" s="59"/>
      <c r="G210" s="104"/>
      <c r="H210" s="64"/>
      <c r="Q210" s="87"/>
    </row>
    <row r="211" spans="1:17">
      <c r="B211" s="52" t="s">
        <v>39</v>
      </c>
      <c r="E211" s="231"/>
      <c r="G211" s="213"/>
      <c r="H211" s="41"/>
      <c r="J211" s="97"/>
      <c r="K211" s="97"/>
    </row>
    <row r="212" spans="1:17">
      <c r="B212" s="52"/>
      <c r="E212" s="231"/>
      <c r="H212" s="61"/>
    </row>
    <row r="213" spans="1:17">
      <c r="B213" s="48" t="s">
        <v>24</v>
      </c>
      <c r="C213" s="56"/>
      <c r="D213" s="56"/>
      <c r="E213" s="239"/>
      <c r="F213" s="56"/>
      <c r="G213" s="209"/>
      <c r="Q213" s="86"/>
    </row>
    <row r="214" spans="1:17">
      <c r="B214" s="48"/>
      <c r="C214" s="56"/>
      <c r="D214" s="56"/>
      <c r="E214" s="239"/>
      <c r="F214" s="56"/>
      <c r="G214" s="100"/>
      <c r="Q214" s="86"/>
    </row>
    <row r="215" spans="1:17">
      <c r="A215" s="11" t="s">
        <v>0</v>
      </c>
      <c r="B215" s="9" t="s">
        <v>40</v>
      </c>
      <c r="C215" s="46"/>
      <c r="D215" s="7"/>
      <c r="E215" s="237"/>
      <c r="F215" s="7"/>
      <c r="G215" s="99"/>
      <c r="H215" s="41"/>
      <c r="Q215" s="91"/>
    </row>
    <row r="216" spans="1:17">
      <c r="C216" s="207" t="s">
        <v>170</v>
      </c>
      <c r="D216" s="203"/>
      <c r="E216" s="235" t="s">
        <v>171</v>
      </c>
      <c r="F216" s="203"/>
      <c r="G216" s="208" t="s">
        <v>164</v>
      </c>
      <c r="H216" s="61"/>
    </row>
    <row r="217" spans="1:17" ht="51">
      <c r="A217" s="43" t="s">
        <v>3</v>
      </c>
      <c r="B217" s="53" t="s">
        <v>72</v>
      </c>
      <c r="E217" s="231"/>
      <c r="H217" s="61"/>
    </row>
    <row r="218" spans="1:17">
      <c r="E218" s="231"/>
      <c r="H218" s="61"/>
    </row>
    <row r="219" spans="1:17">
      <c r="B219" s="52" t="s">
        <v>23</v>
      </c>
      <c r="C219" s="214">
        <v>2</v>
      </c>
      <c r="E219" s="230"/>
      <c r="G219" s="213"/>
      <c r="H219" s="41"/>
    </row>
    <row r="220" spans="1:17">
      <c r="H220" s="61"/>
    </row>
    <row r="221" spans="1:17">
      <c r="A221" s="47"/>
      <c r="B221" s="9" t="s">
        <v>44</v>
      </c>
      <c r="C221" s="56"/>
      <c r="D221" s="56"/>
      <c r="E221" s="112"/>
      <c r="F221" s="56"/>
      <c r="G221" s="209"/>
      <c r="Q221" s="86"/>
    </row>
    <row r="222" spans="1:17">
      <c r="H222" s="61"/>
    </row>
    <row r="223" spans="1:17">
      <c r="H223" s="61"/>
    </row>
  </sheetData>
  <sheetProtection selectLockedCells="1"/>
  <mergeCells count="2">
    <mergeCell ref="E23:G23"/>
    <mergeCell ref="E24:G24"/>
  </mergeCells>
  <conditionalFormatting sqref="G14:G18 C42:G66 C69:G93 C99:G118 C122:G130 C132:G147 C151:G171 C173:G175 C179:G187 C189:G207 C211:G213">
    <cfRule type="cellIs" dxfId="13" priority="4" stopIfTrue="1" operator="greaterThan">
      <formula>0</formula>
    </cfRule>
  </conditionalFormatting>
  <pageMargins left="1.1811023622047245" right="0.15748031496062992" top="0.59055118110236227" bottom="0.59055118110236227" header="0.39370078740157483" footer="0.39370078740157483"/>
  <pageSetup paperSize="9" orientation="portrait" useFirstPageNumber="1" r:id="rId1"/>
  <headerFooter alignWithMargins="0">
    <oddHeader xml:space="preserve">&amp;R&amp;"Arial,Navadno"&amp;9KANAL PV3
</oddHeader>
    <oddFooter>&amp;C&amp;"Arial,Navadno"&amp;10&amp;P</oddFooter>
  </headerFooter>
  <rowBreaks count="9" manualBreakCount="9">
    <brk id="34" max="6" man="1"/>
    <brk id="66" max="6" man="1"/>
    <brk id="94" max="6" man="1"/>
    <brk id="118" max="6" man="1"/>
    <brk id="130" max="6" man="1"/>
    <brk id="147" max="6" man="1"/>
    <brk id="171" max="6" man="1"/>
    <brk id="187" max="6" man="1"/>
    <brk id="213" max="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94"/>
  <sheetViews>
    <sheetView view="pageBreakPreview" topLeftCell="A19" zoomScale="60" zoomScaleNormal="100" workbookViewId="0">
      <selection activeCell="E41" sqref="E41:E186"/>
    </sheetView>
  </sheetViews>
  <sheetFormatPr defaultColWidth="8.6640625" defaultRowHeight="15.75"/>
  <cols>
    <col min="1" max="1" width="6.5546875" style="43" customWidth="1"/>
    <col min="2" max="2" width="27.44140625" style="53" customWidth="1"/>
    <col min="3" max="3" width="7.44140625" style="41" customWidth="1"/>
    <col min="4" max="4" width="1.109375" style="41" customWidth="1"/>
    <col min="5" max="5" width="11.109375" style="107" customWidth="1"/>
    <col min="6" max="6" width="3.44140625" style="41" customWidth="1"/>
    <col min="7" max="7" width="14" style="97" customWidth="1"/>
    <col min="8" max="8" width="3.6640625" style="38" customWidth="1"/>
    <col min="9" max="9" width="14.88671875" style="36" customWidth="1"/>
    <col min="10" max="10" width="8.6640625" style="37" customWidth="1"/>
    <col min="11" max="11" width="25.5546875" style="38" customWidth="1"/>
    <col min="12" max="12" width="15.5546875" style="38" customWidth="1"/>
    <col min="13" max="15" width="8.6640625" style="39" customWidth="1"/>
    <col min="16" max="16" width="8.6640625" style="38" customWidth="1"/>
    <col min="17" max="17" width="11.109375" style="82" customWidth="1"/>
    <col min="18" max="16384" width="8.6640625" style="38"/>
  </cols>
  <sheetData>
    <row r="1" spans="1:17" s="79" customFormat="1" ht="15.95" customHeight="1">
      <c r="A1" s="34"/>
      <c r="B1" s="35" t="s">
        <v>11</v>
      </c>
      <c r="C1" s="1" t="s">
        <v>123</v>
      </c>
      <c r="D1" s="33"/>
      <c r="E1" s="33"/>
      <c r="F1" s="2"/>
      <c r="G1" s="96"/>
      <c r="H1" s="78"/>
      <c r="Q1" s="90"/>
    </row>
    <row r="2" spans="1:17" s="79" customFormat="1" ht="15.95" customHeight="1">
      <c r="A2" s="34"/>
      <c r="B2" s="35"/>
      <c r="C2" s="1" t="s">
        <v>124</v>
      </c>
      <c r="D2" s="33"/>
      <c r="E2" s="33"/>
      <c r="F2" s="2"/>
      <c r="G2" s="96"/>
      <c r="H2" s="78"/>
      <c r="Q2" s="90"/>
    </row>
    <row r="3" spans="1:17" s="79" customFormat="1" ht="15.95" customHeight="1">
      <c r="A3" s="34"/>
      <c r="B3" s="35" t="s">
        <v>8</v>
      </c>
      <c r="C3" s="40" t="s">
        <v>214</v>
      </c>
      <c r="D3" s="33"/>
      <c r="E3" s="106"/>
      <c r="F3" s="2"/>
      <c r="G3" s="96"/>
      <c r="H3" s="78"/>
      <c r="Q3" s="90"/>
    </row>
    <row r="4" spans="1:17" s="79" customFormat="1">
      <c r="A4" s="34"/>
      <c r="B4" s="35" t="s">
        <v>12</v>
      </c>
      <c r="C4" s="40" t="s">
        <v>207</v>
      </c>
      <c r="D4" s="41"/>
      <c r="E4" s="107"/>
      <c r="F4" s="41"/>
      <c r="G4" s="97"/>
      <c r="Q4" s="82"/>
    </row>
    <row r="5" spans="1:17" s="79" customFormat="1">
      <c r="A5" s="34"/>
      <c r="B5" s="35" t="s">
        <v>13</v>
      </c>
      <c r="C5" s="1" t="s">
        <v>172</v>
      </c>
      <c r="D5" s="33"/>
      <c r="E5" s="106"/>
      <c r="F5" s="2"/>
      <c r="G5" s="97"/>
      <c r="Q5" s="90"/>
    </row>
    <row r="6" spans="1:17">
      <c r="A6" s="34"/>
      <c r="B6" s="35"/>
      <c r="C6" s="42" t="s">
        <v>173</v>
      </c>
    </row>
    <row r="7" spans="1:17">
      <c r="A7" s="34"/>
      <c r="B7" s="35"/>
      <c r="C7" s="42"/>
    </row>
    <row r="9" spans="1:17" ht="18">
      <c r="A9" s="43" t="s">
        <v>14</v>
      </c>
      <c r="B9" s="44" t="s">
        <v>52</v>
      </c>
      <c r="C9" s="45"/>
      <c r="D9" s="45"/>
      <c r="E9" s="108"/>
      <c r="F9" s="45"/>
      <c r="G9" s="98"/>
      <c r="Q9" s="83"/>
    </row>
    <row r="10" spans="1:17">
      <c r="B10" s="45"/>
      <c r="C10" s="45"/>
      <c r="D10" s="45"/>
      <c r="E10" s="108"/>
      <c r="F10" s="45"/>
      <c r="G10" s="98"/>
      <c r="Q10" s="83"/>
    </row>
    <row r="12" spans="1:17" s="7" customFormat="1">
      <c r="A12" s="8" t="s">
        <v>15</v>
      </c>
      <c r="B12" s="9" t="s">
        <v>16</v>
      </c>
      <c r="C12" s="46"/>
      <c r="E12" s="109"/>
      <c r="G12" s="99"/>
      <c r="I12" s="26"/>
      <c r="J12" s="22"/>
      <c r="M12" s="30"/>
      <c r="N12" s="30"/>
      <c r="O12" s="30"/>
      <c r="Q12" s="91"/>
    </row>
    <row r="13" spans="1:17" s="7" customFormat="1">
      <c r="A13" s="8"/>
      <c r="B13" s="9"/>
      <c r="C13" s="46"/>
      <c r="E13" s="109"/>
      <c r="G13" s="99"/>
      <c r="I13" s="26"/>
      <c r="J13" s="22"/>
      <c r="M13" s="30"/>
      <c r="N13" s="30"/>
      <c r="O13" s="30"/>
      <c r="Q13" s="91"/>
    </row>
    <row r="14" spans="1:17" s="7" customFormat="1">
      <c r="A14" s="47" t="s">
        <v>27</v>
      </c>
      <c r="B14" s="48" t="s">
        <v>26</v>
      </c>
      <c r="C14" s="49"/>
      <c r="D14" s="49"/>
      <c r="E14" s="110"/>
      <c r="F14" s="49"/>
      <c r="G14" s="209"/>
      <c r="H14" s="80"/>
      <c r="I14" s="26"/>
      <c r="J14" s="22"/>
      <c r="K14" s="119"/>
      <c r="M14" s="30"/>
      <c r="N14" s="30"/>
      <c r="O14" s="30"/>
      <c r="Q14" s="84"/>
    </row>
    <row r="15" spans="1:17">
      <c r="A15" s="47" t="s">
        <v>32</v>
      </c>
      <c r="B15" s="48" t="s">
        <v>17</v>
      </c>
      <c r="C15" s="49"/>
      <c r="D15" s="49"/>
      <c r="E15" s="110"/>
      <c r="F15" s="49"/>
      <c r="G15" s="209"/>
      <c r="H15" s="80"/>
      <c r="K15" s="116"/>
      <c r="Q15" s="84"/>
    </row>
    <row r="16" spans="1:17">
      <c r="A16" s="47" t="s">
        <v>42</v>
      </c>
      <c r="B16" s="48" t="s">
        <v>18</v>
      </c>
      <c r="C16" s="49"/>
      <c r="D16" s="49"/>
      <c r="E16" s="110"/>
      <c r="F16" s="49"/>
      <c r="G16" s="209"/>
      <c r="H16" s="80"/>
      <c r="K16" s="116"/>
      <c r="Q16" s="84"/>
    </row>
    <row r="17" spans="1:17">
      <c r="A17" s="47"/>
      <c r="B17" s="48"/>
      <c r="C17" s="49"/>
      <c r="D17" s="49"/>
      <c r="E17" s="110"/>
      <c r="F17" s="49"/>
      <c r="G17" s="100"/>
      <c r="K17" s="116"/>
      <c r="Q17" s="84"/>
    </row>
    <row r="18" spans="1:17" ht="16.5" thickBot="1">
      <c r="A18" s="47"/>
      <c r="B18" s="50" t="s">
        <v>53</v>
      </c>
      <c r="C18" s="51"/>
      <c r="D18" s="51"/>
      <c r="E18" s="111"/>
      <c r="F18" s="51"/>
      <c r="G18" s="210"/>
      <c r="H18" s="80"/>
      <c r="K18" s="117"/>
      <c r="Q18" s="85"/>
    </row>
    <row r="22" spans="1:17" ht="15.95" customHeight="1">
      <c r="B22" s="53" t="s">
        <v>81</v>
      </c>
      <c r="E22" s="458"/>
      <c r="F22" s="458"/>
      <c r="G22" s="458"/>
    </row>
    <row r="23" spans="1:17" ht="84.75" customHeight="1">
      <c r="B23" s="53" t="s">
        <v>84</v>
      </c>
      <c r="E23" s="458"/>
      <c r="F23" s="458"/>
      <c r="G23" s="458"/>
    </row>
    <row r="25" spans="1:17">
      <c r="B25" s="53" t="s">
        <v>82</v>
      </c>
    </row>
    <row r="26" spans="1:17" ht="63.75">
      <c r="B26" s="53" t="s">
        <v>83</v>
      </c>
    </row>
    <row r="28" spans="1:17">
      <c r="K28" s="53"/>
    </row>
    <row r="29" spans="1:17">
      <c r="K29" s="53"/>
    </row>
    <row r="33" spans="1:17">
      <c r="B33" s="53" t="s">
        <v>166</v>
      </c>
    </row>
    <row r="34" spans="1:17" s="7" customFormat="1">
      <c r="A34" s="43"/>
      <c r="B34" s="53"/>
      <c r="C34" s="41"/>
      <c r="D34" s="41"/>
      <c r="E34" s="107"/>
      <c r="F34" s="41"/>
      <c r="G34" s="97"/>
      <c r="H34" s="38"/>
      <c r="I34" s="26"/>
      <c r="J34" s="22"/>
      <c r="M34" s="30"/>
      <c r="N34" s="30"/>
      <c r="O34" s="30"/>
      <c r="Q34" s="82"/>
    </row>
    <row r="35" spans="1:17">
      <c r="A35" s="11" t="s">
        <v>19</v>
      </c>
      <c r="B35" s="9" t="s">
        <v>16</v>
      </c>
      <c r="C35" s="46"/>
      <c r="D35" s="7"/>
      <c r="E35" s="109"/>
      <c r="F35" s="7"/>
      <c r="G35" s="99"/>
      <c r="H35" s="7"/>
      <c r="Q35" s="91"/>
    </row>
    <row r="36" spans="1:17" s="7" customFormat="1">
      <c r="A36" s="43"/>
      <c r="B36" s="55"/>
      <c r="C36" s="56"/>
      <c r="D36" s="56"/>
      <c r="E36" s="112"/>
      <c r="F36" s="56"/>
      <c r="G36" s="101"/>
      <c r="H36" s="38"/>
      <c r="I36" s="26"/>
      <c r="J36" s="22"/>
      <c r="M36" s="30"/>
      <c r="N36" s="30"/>
      <c r="O36" s="30"/>
      <c r="Q36" s="86"/>
    </row>
    <row r="37" spans="1:17" s="7" customFormat="1">
      <c r="A37" s="11" t="s">
        <v>27</v>
      </c>
      <c r="B37" s="9" t="s">
        <v>26</v>
      </c>
      <c r="C37" s="46"/>
      <c r="E37" s="109"/>
      <c r="G37" s="99"/>
      <c r="I37" s="26"/>
      <c r="J37" s="22"/>
      <c r="M37" s="30"/>
      <c r="N37" s="30"/>
      <c r="O37" s="30"/>
      <c r="Q37" s="91"/>
    </row>
    <row r="38" spans="1:17" s="7" customFormat="1">
      <c r="A38" s="8"/>
      <c r="B38" s="9"/>
      <c r="C38" s="207" t="s">
        <v>170</v>
      </c>
      <c r="D38" s="203"/>
      <c r="E38" s="208" t="s">
        <v>171</v>
      </c>
      <c r="F38" s="203"/>
      <c r="G38" s="208" t="s">
        <v>164</v>
      </c>
      <c r="I38" s="26"/>
      <c r="J38" s="22"/>
      <c r="M38" s="30"/>
      <c r="N38" s="30"/>
      <c r="O38" s="30"/>
      <c r="Q38" s="91"/>
    </row>
    <row r="39" spans="1:17" s="17" customFormat="1" ht="39">
      <c r="A39" s="12" t="s">
        <v>28</v>
      </c>
      <c r="B39" s="13" t="s">
        <v>139</v>
      </c>
      <c r="C39" s="46"/>
      <c r="D39" s="7"/>
      <c r="E39" s="109"/>
      <c r="F39" s="7"/>
      <c r="G39" s="99"/>
      <c r="H39" s="7"/>
      <c r="I39" s="27"/>
      <c r="J39" s="23"/>
      <c r="M39" s="31"/>
      <c r="N39" s="31"/>
      <c r="O39" s="31"/>
      <c r="Q39" s="91"/>
    </row>
    <row r="40" spans="1:17" s="7" customFormat="1">
      <c r="A40" s="18"/>
      <c r="B40" s="13"/>
      <c r="C40" s="57"/>
      <c r="D40" s="17"/>
      <c r="E40" s="113"/>
      <c r="F40" s="17"/>
      <c r="G40" s="102"/>
      <c r="H40" s="17"/>
      <c r="I40" s="26"/>
      <c r="J40" s="22"/>
      <c r="M40" s="30"/>
      <c r="N40" s="30"/>
      <c r="O40" s="30"/>
      <c r="Q40" s="92"/>
    </row>
    <row r="41" spans="1:17" s="7" customFormat="1">
      <c r="A41" s="8"/>
      <c r="B41" s="52" t="s">
        <v>22</v>
      </c>
      <c r="C41" s="214">
        <v>57</v>
      </c>
      <c r="D41" s="41"/>
      <c r="E41" s="230"/>
      <c r="F41" s="81"/>
      <c r="G41" s="213"/>
      <c r="H41" s="81"/>
      <c r="I41" s="26"/>
      <c r="J41" s="22"/>
      <c r="M41" s="30"/>
      <c r="N41" s="30"/>
      <c r="O41" s="30"/>
      <c r="Q41" s="82"/>
    </row>
    <row r="42" spans="1:17" s="7" customFormat="1">
      <c r="A42" s="8"/>
      <c r="B42" s="52"/>
      <c r="C42" s="41"/>
      <c r="D42" s="41"/>
      <c r="E42" s="231"/>
      <c r="F42" s="41"/>
      <c r="G42" s="97"/>
      <c r="H42" s="41"/>
      <c r="I42" s="26"/>
      <c r="J42" s="22"/>
      <c r="M42" s="30"/>
      <c r="N42" s="30"/>
      <c r="O42" s="30"/>
      <c r="Q42" s="82"/>
    </row>
    <row r="43" spans="1:17" s="19" customFormat="1" ht="57.75" customHeight="1">
      <c r="A43" s="12" t="s">
        <v>56</v>
      </c>
      <c r="B43" s="52" t="s">
        <v>68</v>
      </c>
      <c r="C43" s="41"/>
      <c r="D43" s="41"/>
      <c r="E43" s="231"/>
      <c r="F43" s="41"/>
      <c r="G43" s="97"/>
      <c r="H43" s="7"/>
      <c r="I43" s="28"/>
      <c r="J43" s="24"/>
      <c r="M43" s="32"/>
      <c r="N43" s="32"/>
      <c r="O43" s="32"/>
      <c r="Q43" s="82"/>
    </row>
    <row r="44" spans="1:17" s="7" customFormat="1">
      <c r="A44" s="20"/>
      <c r="B44" s="52"/>
      <c r="C44" s="59"/>
      <c r="D44" s="59"/>
      <c r="E44" s="231"/>
      <c r="F44" s="59"/>
      <c r="G44" s="104"/>
      <c r="H44" s="19"/>
      <c r="I44" s="26"/>
      <c r="J44" s="22"/>
      <c r="M44" s="30"/>
      <c r="N44" s="30"/>
      <c r="O44" s="30"/>
      <c r="Q44" s="87"/>
    </row>
    <row r="45" spans="1:17" s="7" customFormat="1">
      <c r="A45" s="8"/>
      <c r="B45" s="52" t="s">
        <v>23</v>
      </c>
      <c r="C45" s="214">
        <f>INT(C41/20)+1</f>
        <v>3</v>
      </c>
      <c r="D45" s="41"/>
      <c r="E45" s="232"/>
      <c r="F45" s="81"/>
      <c r="G45" s="213"/>
      <c r="H45" s="81"/>
      <c r="I45" s="26"/>
      <c r="J45" s="22"/>
      <c r="M45" s="30"/>
      <c r="N45" s="30"/>
      <c r="O45" s="30"/>
      <c r="Q45" s="82"/>
    </row>
    <row r="46" spans="1:17" s="7" customFormat="1">
      <c r="A46" s="8"/>
      <c r="B46" s="52"/>
      <c r="C46" s="41"/>
      <c r="D46" s="41"/>
      <c r="E46" s="231"/>
      <c r="F46" s="41"/>
      <c r="G46" s="97"/>
      <c r="H46" s="41"/>
      <c r="I46" s="26"/>
      <c r="J46" s="22"/>
      <c r="M46" s="30"/>
      <c r="N46" s="30"/>
      <c r="O46" s="30"/>
      <c r="Q46" s="82"/>
    </row>
    <row r="47" spans="1:17" s="7" customFormat="1" ht="38.25">
      <c r="A47" s="12" t="s">
        <v>5</v>
      </c>
      <c r="B47" s="52" t="s">
        <v>6</v>
      </c>
      <c r="C47" s="41"/>
      <c r="D47" s="41"/>
      <c r="E47" s="231"/>
      <c r="F47" s="41"/>
      <c r="G47" s="97"/>
      <c r="I47" s="26"/>
      <c r="J47" s="22"/>
      <c r="M47" s="30"/>
      <c r="N47" s="30"/>
      <c r="O47" s="30"/>
      <c r="Q47" s="82"/>
    </row>
    <row r="48" spans="1:17" s="7" customFormat="1">
      <c r="A48" s="20"/>
      <c r="B48" s="52"/>
      <c r="C48" s="59"/>
      <c r="D48" s="59"/>
      <c r="E48" s="233"/>
      <c r="F48" s="59"/>
      <c r="G48" s="104"/>
      <c r="H48" s="19"/>
      <c r="I48" s="26"/>
      <c r="J48" s="22"/>
      <c r="M48" s="30"/>
      <c r="N48" s="30"/>
      <c r="O48" s="30"/>
      <c r="Q48" s="87"/>
    </row>
    <row r="49" spans="1:17" s="7" customFormat="1">
      <c r="A49" s="8"/>
      <c r="B49" s="52" t="s">
        <v>29</v>
      </c>
      <c r="C49" s="214">
        <v>1</v>
      </c>
      <c r="D49" s="41"/>
      <c r="E49" s="232"/>
      <c r="F49" s="81"/>
      <c r="G49" s="213"/>
      <c r="H49" s="81"/>
      <c r="I49" s="26"/>
      <c r="J49" s="22"/>
      <c r="M49" s="30"/>
      <c r="N49" s="30"/>
      <c r="O49" s="30"/>
      <c r="Q49" s="82"/>
    </row>
    <row r="50" spans="1:17" s="7" customFormat="1">
      <c r="A50" s="8"/>
      <c r="B50" s="52"/>
      <c r="C50" s="41"/>
      <c r="D50" s="41"/>
      <c r="E50" s="231"/>
      <c r="F50" s="41"/>
      <c r="G50" s="97"/>
      <c r="H50" s="41"/>
      <c r="I50" s="26"/>
      <c r="J50" s="22"/>
      <c r="M50" s="30"/>
      <c r="N50" s="30"/>
      <c r="O50" s="30"/>
      <c r="Q50" s="82"/>
    </row>
    <row r="51" spans="1:17" s="19" customFormat="1" ht="48" customHeight="1">
      <c r="A51" s="12" t="s">
        <v>75</v>
      </c>
      <c r="B51" s="52" t="s">
        <v>136</v>
      </c>
      <c r="C51" s="41"/>
      <c r="D51" s="41"/>
      <c r="E51" s="231"/>
      <c r="F51" s="41"/>
      <c r="G51" s="97"/>
      <c r="H51" s="7"/>
      <c r="I51" s="28"/>
      <c r="J51" s="24"/>
      <c r="M51" s="32"/>
      <c r="N51" s="32"/>
      <c r="O51" s="32"/>
      <c r="Q51" s="82"/>
    </row>
    <row r="52" spans="1:17" s="7" customFormat="1">
      <c r="A52" s="20"/>
      <c r="B52" s="52"/>
      <c r="C52" s="59"/>
      <c r="D52" s="59"/>
      <c r="E52" s="233"/>
      <c r="F52" s="59"/>
      <c r="G52" s="104"/>
      <c r="H52" s="19"/>
      <c r="I52" s="26"/>
      <c r="J52" s="22"/>
      <c r="M52" s="30"/>
      <c r="N52" s="30"/>
      <c r="O52" s="30"/>
      <c r="Q52" s="87"/>
    </row>
    <row r="53" spans="1:17" s="7" customFormat="1">
      <c r="A53" s="8"/>
      <c r="B53" s="52" t="s">
        <v>23</v>
      </c>
      <c r="C53" s="214">
        <v>1</v>
      </c>
      <c r="D53" s="41"/>
      <c r="E53" s="232"/>
      <c r="F53" s="81"/>
      <c r="G53" s="213"/>
      <c r="H53" s="81"/>
      <c r="I53" s="26"/>
      <c r="J53" s="22"/>
      <c r="M53" s="30"/>
      <c r="N53" s="30"/>
      <c r="O53" s="30"/>
      <c r="Q53" s="82"/>
    </row>
    <row r="54" spans="1:17" s="7" customFormat="1">
      <c r="A54" s="8"/>
      <c r="B54" s="52"/>
      <c r="C54" s="41"/>
      <c r="D54" s="41"/>
      <c r="E54" s="231"/>
      <c r="F54" s="81"/>
      <c r="G54" s="97"/>
      <c r="H54" s="81"/>
      <c r="I54" s="26"/>
      <c r="J54" s="22"/>
      <c r="M54" s="30"/>
      <c r="N54" s="30"/>
      <c r="O54" s="30"/>
      <c r="Q54" s="82"/>
    </row>
    <row r="55" spans="1:17" s="19" customFormat="1" ht="34.5" customHeight="1">
      <c r="A55" s="12" t="s">
        <v>137</v>
      </c>
      <c r="B55" s="52" t="s">
        <v>138</v>
      </c>
      <c r="C55" s="41"/>
      <c r="D55" s="41"/>
      <c r="E55" s="231"/>
      <c r="F55" s="41"/>
      <c r="G55" s="97"/>
      <c r="H55" s="7"/>
      <c r="I55" s="28"/>
      <c r="J55" s="24"/>
      <c r="M55" s="32"/>
      <c r="N55" s="32"/>
      <c r="O55" s="32"/>
      <c r="Q55" s="82"/>
    </row>
    <row r="56" spans="1:17" s="7" customFormat="1">
      <c r="A56" s="20"/>
      <c r="B56" s="52"/>
      <c r="C56" s="59"/>
      <c r="D56" s="59"/>
      <c r="E56" s="233"/>
      <c r="F56" s="59"/>
      <c r="G56" s="104"/>
      <c r="H56" s="19"/>
      <c r="I56" s="26"/>
      <c r="J56" s="22"/>
      <c r="M56" s="30"/>
      <c r="N56" s="30"/>
      <c r="O56" s="30"/>
      <c r="Q56" s="87"/>
    </row>
    <row r="57" spans="1:17" s="7" customFormat="1">
      <c r="A57" s="8"/>
      <c r="B57" s="52" t="s">
        <v>71</v>
      </c>
      <c r="C57" s="214">
        <v>57</v>
      </c>
      <c r="D57" s="41"/>
      <c r="E57" s="232"/>
      <c r="F57" s="81"/>
      <c r="G57" s="213"/>
      <c r="H57" s="81"/>
      <c r="I57" s="26"/>
      <c r="J57" s="22"/>
      <c r="M57" s="30"/>
      <c r="N57" s="30"/>
      <c r="O57" s="30"/>
      <c r="Q57" s="82"/>
    </row>
    <row r="58" spans="1:17" s="7" customFormat="1">
      <c r="A58" s="8"/>
      <c r="B58" s="52"/>
      <c r="C58" s="207" t="s">
        <v>170</v>
      </c>
      <c r="D58" s="203"/>
      <c r="E58" s="235" t="s">
        <v>171</v>
      </c>
      <c r="F58" s="203"/>
      <c r="G58" s="215" t="s">
        <v>164</v>
      </c>
      <c r="H58" s="41"/>
      <c r="I58" s="26"/>
      <c r="J58" s="22"/>
      <c r="M58" s="30"/>
      <c r="N58" s="30"/>
      <c r="O58" s="30"/>
      <c r="Q58" s="82"/>
    </row>
    <row r="59" spans="1:17" s="7" customFormat="1" ht="86.25" customHeight="1">
      <c r="A59" s="12" t="s">
        <v>54</v>
      </c>
      <c r="B59" s="52" t="s">
        <v>215</v>
      </c>
      <c r="C59" s="41"/>
      <c r="D59" s="41"/>
      <c r="E59" s="231"/>
      <c r="F59" s="41"/>
      <c r="G59" s="97"/>
      <c r="I59" s="26"/>
      <c r="J59" s="22"/>
      <c r="M59" s="30"/>
      <c r="N59" s="30"/>
      <c r="O59" s="30"/>
      <c r="Q59" s="82"/>
    </row>
    <row r="60" spans="1:17" s="7" customFormat="1" ht="44.25" customHeight="1">
      <c r="A60" s="8"/>
      <c r="B60" s="52" t="s">
        <v>116</v>
      </c>
      <c r="C60" s="214">
        <v>1</v>
      </c>
      <c r="D60" s="41"/>
      <c r="E60" s="232"/>
      <c r="F60" s="81"/>
      <c r="G60" s="213"/>
      <c r="H60" s="81"/>
      <c r="I60" s="26"/>
      <c r="J60" s="22"/>
      <c r="M60" s="30"/>
      <c r="N60" s="30"/>
      <c r="O60" s="30"/>
      <c r="Q60" s="82"/>
    </row>
    <row r="61" spans="1:17" s="7" customFormat="1" ht="15.95" customHeight="1">
      <c r="A61" s="8"/>
      <c r="B61" s="52"/>
      <c r="C61" s="41"/>
      <c r="D61" s="41"/>
      <c r="E61" s="231"/>
      <c r="F61" s="41"/>
      <c r="G61" s="97"/>
      <c r="I61" s="26"/>
      <c r="J61" s="22"/>
      <c r="M61" s="30"/>
      <c r="N61" s="30"/>
      <c r="O61" s="30"/>
      <c r="Q61" s="82"/>
    </row>
    <row r="62" spans="1:17" s="7" customFormat="1" ht="15.95" customHeight="1">
      <c r="A62" s="12" t="s">
        <v>61</v>
      </c>
      <c r="B62" s="52" t="s">
        <v>62</v>
      </c>
      <c r="C62" s="41"/>
      <c r="D62" s="41"/>
      <c r="E62" s="231"/>
      <c r="F62" s="41"/>
      <c r="G62" s="97"/>
      <c r="I62" s="26"/>
      <c r="J62" s="22"/>
      <c r="M62" s="30"/>
      <c r="N62" s="30"/>
      <c r="O62" s="30"/>
      <c r="Q62" s="82"/>
    </row>
    <row r="63" spans="1:17" s="7" customFormat="1" ht="15.95" customHeight="1">
      <c r="A63" s="20"/>
      <c r="B63" s="52"/>
      <c r="C63" s="59"/>
      <c r="D63" s="59"/>
      <c r="E63" s="233"/>
      <c r="F63" s="59"/>
      <c r="G63" s="104"/>
      <c r="H63" s="19"/>
      <c r="I63" s="26"/>
      <c r="J63" s="22"/>
      <c r="M63" s="30"/>
      <c r="N63" s="30"/>
      <c r="O63" s="30"/>
      <c r="Q63" s="87"/>
    </row>
    <row r="64" spans="1:17" s="7" customFormat="1" ht="15.95" customHeight="1">
      <c r="A64" s="8"/>
      <c r="B64" s="52" t="s">
        <v>41</v>
      </c>
      <c r="C64" s="214">
        <v>1.5</v>
      </c>
      <c r="D64" s="41"/>
      <c r="E64" s="232"/>
      <c r="F64" s="81"/>
      <c r="G64" s="213"/>
      <c r="H64" s="81"/>
      <c r="I64" s="26"/>
      <c r="J64" s="22"/>
      <c r="M64" s="30"/>
      <c r="N64" s="30"/>
      <c r="O64" s="30"/>
      <c r="Q64" s="82"/>
    </row>
    <row r="65" spans="1:17" s="7" customFormat="1" ht="15.95" customHeight="1">
      <c r="A65" s="8"/>
      <c r="B65" s="52"/>
      <c r="C65" s="41"/>
      <c r="D65" s="41"/>
      <c r="E65" s="231"/>
      <c r="F65" s="41"/>
      <c r="G65" s="97"/>
      <c r="H65" s="41"/>
      <c r="I65" s="26"/>
      <c r="J65" s="22"/>
      <c r="M65" s="30"/>
      <c r="N65" s="30"/>
      <c r="O65" s="30"/>
      <c r="Q65" s="82"/>
    </row>
    <row r="66" spans="1:17" s="7" customFormat="1" ht="89.25" customHeight="1">
      <c r="A66" s="12" t="s">
        <v>73</v>
      </c>
      <c r="B66" s="52" t="s">
        <v>135</v>
      </c>
      <c r="C66" s="41"/>
      <c r="D66" s="41"/>
      <c r="E66" s="231"/>
      <c r="F66" s="41"/>
      <c r="G66" s="97"/>
      <c r="I66" s="26"/>
      <c r="J66" s="22"/>
      <c r="M66" s="30"/>
      <c r="N66" s="30"/>
      <c r="O66" s="30"/>
      <c r="Q66" s="82"/>
    </row>
    <row r="67" spans="1:17" s="7" customFormat="1" ht="15.95" customHeight="1">
      <c r="A67" s="20"/>
      <c r="B67" s="52"/>
      <c r="C67" s="59"/>
      <c r="D67" s="59"/>
      <c r="E67" s="233"/>
      <c r="F67" s="59"/>
      <c r="G67" s="104"/>
      <c r="H67" s="19"/>
      <c r="I67" s="26"/>
      <c r="J67" s="22"/>
      <c r="M67" s="30"/>
      <c r="N67" s="30"/>
      <c r="O67" s="30"/>
      <c r="Q67" s="87"/>
    </row>
    <row r="68" spans="1:17" s="7" customFormat="1" ht="15.95" customHeight="1">
      <c r="A68" s="8"/>
      <c r="B68" s="52" t="s">
        <v>23</v>
      </c>
      <c r="C68" s="214">
        <v>1</v>
      </c>
      <c r="D68" s="41"/>
      <c r="E68" s="232"/>
      <c r="F68" s="81"/>
      <c r="G68" s="213"/>
      <c r="H68" s="81"/>
      <c r="I68" s="26"/>
      <c r="J68" s="22"/>
      <c r="M68" s="30"/>
      <c r="N68" s="30"/>
      <c r="O68" s="30"/>
      <c r="Q68" s="82"/>
    </row>
    <row r="69" spans="1:17" s="7" customFormat="1" ht="15.95" customHeight="1">
      <c r="A69" s="8"/>
      <c r="B69" s="52"/>
      <c r="C69" s="41"/>
      <c r="D69" s="41"/>
      <c r="E69" s="231"/>
      <c r="F69" s="41"/>
      <c r="G69" s="97"/>
      <c r="H69" s="41"/>
      <c r="I69" s="26"/>
      <c r="J69" s="22"/>
      <c r="M69" s="30"/>
      <c r="N69" s="30"/>
      <c r="O69" s="30"/>
      <c r="Q69" s="82"/>
    </row>
    <row r="70" spans="1:17" s="7" customFormat="1" ht="33.950000000000003" customHeight="1">
      <c r="A70" s="12" t="s">
        <v>74</v>
      </c>
      <c r="B70" s="52" t="s">
        <v>10</v>
      </c>
      <c r="C70" s="41"/>
      <c r="D70" s="41"/>
      <c r="E70" s="231"/>
      <c r="F70" s="41"/>
      <c r="G70" s="97"/>
      <c r="I70" s="26"/>
      <c r="J70" s="22"/>
      <c r="M70" s="30"/>
      <c r="N70" s="30"/>
      <c r="O70" s="30"/>
      <c r="Q70" s="82"/>
    </row>
    <row r="71" spans="1:17" s="7" customFormat="1" ht="15.95" customHeight="1">
      <c r="A71" s="20"/>
      <c r="B71" s="52"/>
      <c r="C71" s="59"/>
      <c r="D71" s="59"/>
      <c r="E71" s="233"/>
      <c r="F71" s="59"/>
      <c r="G71" s="104"/>
      <c r="H71" s="19"/>
      <c r="I71" s="26"/>
      <c r="J71" s="22"/>
      <c r="M71" s="30"/>
      <c r="N71" s="30"/>
      <c r="O71" s="30"/>
      <c r="Q71" s="87"/>
    </row>
    <row r="72" spans="1:17" s="7" customFormat="1" ht="15.95" customHeight="1">
      <c r="A72" s="8"/>
      <c r="B72" s="52" t="s">
        <v>23</v>
      </c>
      <c r="C72" s="214">
        <v>1</v>
      </c>
      <c r="D72" s="41"/>
      <c r="E72" s="232"/>
      <c r="F72" s="81"/>
      <c r="G72" s="213"/>
      <c r="H72" s="81"/>
      <c r="I72" s="26"/>
      <c r="J72" s="22"/>
      <c r="M72" s="30"/>
      <c r="N72" s="30"/>
      <c r="O72" s="30"/>
      <c r="Q72" s="82"/>
    </row>
    <row r="73" spans="1:17" s="7" customFormat="1" ht="15.95" customHeight="1">
      <c r="A73" s="8"/>
      <c r="B73" s="52"/>
      <c r="C73" s="41"/>
      <c r="D73" s="41"/>
      <c r="E73" s="231"/>
      <c r="F73" s="41"/>
      <c r="G73" s="97"/>
      <c r="I73" s="26"/>
      <c r="J73" s="22"/>
      <c r="M73" s="30"/>
      <c r="N73" s="30"/>
      <c r="O73" s="30"/>
      <c r="Q73" s="82"/>
    </row>
    <row r="74" spans="1:17" s="7" customFormat="1" ht="31.5">
      <c r="A74" s="11"/>
      <c r="B74" s="60" t="s">
        <v>43</v>
      </c>
      <c r="C74" s="49"/>
      <c r="D74" s="49"/>
      <c r="E74" s="236"/>
      <c r="F74" s="49"/>
      <c r="G74" s="209"/>
      <c r="H74" s="49"/>
      <c r="I74" s="118"/>
      <c r="J74" s="22"/>
      <c r="M74" s="30"/>
      <c r="N74" s="30"/>
      <c r="O74" s="30"/>
      <c r="Q74" s="84"/>
    </row>
    <row r="75" spans="1:17" s="7" customFormat="1">
      <c r="A75" s="11"/>
      <c r="B75" s="60"/>
      <c r="C75" s="49"/>
      <c r="D75" s="49"/>
      <c r="E75" s="236"/>
      <c r="F75" s="49"/>
      <c r="G75" s="100"/>
      <c r="H75" s="49"/>
      <c r="I75" s="26"/>
      <c r="J75" s="22"/>
      <c r="M75" s="30"/>
      <c r="N75" s="30"/>
      <c r="O75" s="30"/>
      <c r="Q75" s="84"/>
    </row>
    <row r="76" spans="1:17" s="7" customFormat="1">
      <c r="A76" s="11" t="s">
        <v>32</v>
      </c>
      <c r="B76" s="9" t="s">
        <v>17</v>
      </c>
      <c r="C76" s="46"/>
      <c r="E76" s="237"/>
      <c r="G76" s="99"/>
      <c r="I76" s="26"/>
      <c r="J76" s="22"/>
      <c r="M76" s="30"/>
      <c r="N76" s="30"/>
      <c r="O76" s="30"/>
      <c r="Q76" s="91"/>
    </row>
    <row r="77" spans="1:17" s="7" customFormat="1">
      <c r="A77" s="11"/>
      <c r="B77" s="9"/>
      <c r="C77" s="46"/>
      <c r="E77" s="237"/>
      <c r="G77" s="99"/>
      <c r="I77" s="26"/>
      <c r="J77" s="22"/>
      <c r="M77" s="30"/>
      <c r="N77" s="30"/>
      <c r="O77" s="30"/>
      <c r="Q77" s="91"/>
    </row>
    <row r="78" spans="1:17" s="64" customFormat="1" ht="64.5" customHeight="1">
      <c r="A78" s="12" t="s">
        <v>33</v>
      </c>
      <c r="B78" s="52" t="s">
        <v>134</v>
      </c>
      <c r="C78" s="41"/>
      <c r="D78" s="41"/>
      <c r="E78" s="231"/>
      <c r="F78" s="41"/>
      <c r="G78" s="97"/>
      <c r="H78" s="61"/>
      <c r="I78" s="62"/>
      <c r="J78" s="63"/>
      <c r="M78" s="65"/>
      <c r="N78" s="65"/>
      <c r="O78" s="65"/>
      <c r="Q78" s="82"/>
    </row>
    <row r="79" spans="1:17">
      <c r="A79" s="18"/>
      <c r="B79" s="52"/>
      <c r="C79" s="59"/>
      <c r="D79" s="59"/>
      <c r="E79" s="233"/>
      <c r="F79" s="59"/>
      <c r="G79" s="104"/>
      <c r="H79" s="64"/>
      <c r="Q79" s="87"/>
    </row>
    <row r="80" spans="1:17">
      <c r="B80" s="52" t="s">
        <v>20</v>
      </c>
      <c r="C80" s="214">
        <v>16.3</v>
      </c>
      <c r="E80" s="230"/>
      <c r="F80" s="81"/>
      <c r="G80" s="213"/>
      <c r="H80" s="81"/>
    </row>
    <row r="81" spans="1:10">
      <c r="B81" s="52"/>
      <c r="E81" s="231"/>
      <c r="H81" s="61"/>
    </row>
    <row r="82" spans="1:10" ht="69" customHeight="1">
      <c r="A82" s="43" t="s">
        <v>34</v>
      </c>
      <c r="B82" s="52" t="s">
        <v>133</v>
      </c>
      <c r="E82" s="231"/>
      <c r="H82" s="61"/>
      <c r="J82" s="52"/>
    </row>
    <row r="83" spans="1:10">
      <c r="B83" s="52"/>
      <c r="E83" s="231"/>
      <c r="H83" s="61"/>
    </row>
    <row r="84" spans="1:10">
      <c r="B84" s="52" t="s">
        <v>25</v>
      </c>
      <c r="C84" s="214">
        <f>0.36/0.09</f>
        <v>4</v>
      </c>
      <c r="E84" s="232"/>
      <c r="F84" s="81"/>
      <c r="G84" s="213"/>
      <c r="H84" s="81"/>
    </row>
    <row r="85" spans="1:10">
      <c r="B85" s="52"/>
      <c r="E85" s="231"/>
      <c r="H85" s="61"/>
    </row>
    <row r="86" spans="1:10">
      <c r="B86" s="52"/>
      <c r="C86" s="207" t="s">
        <v>170</v>
      </c>
      <c r="D86" s="203"/>
      <c r="E86" s="235" t="s">
        <v>171</v>
      </c>
      <c r="F86" s="203"/>
      <c r="G86" s="208" t="s">
        <v>164</v>
      </c>
      <c r="H86" s="61"/>
    </row>
    <row r="87" spans="1:10" ht="69" customHeight="1">
      <c r="A87" s="43" t="s">
        <v>36</v>
      </c>
      <c r="B87" s="52" t="s">
        <v>88</v>
      </c>
      <c r="E87" s="231"/>
      <c r="H87" s="61"/>
    </row>
    <row r="88" spans="1:10">
      <c r="B88" s="52"/>
      <c r="E88" s="231"/>
      <c r="H88" s="61"/>
    </row>
    <row r="89" spans="1:10" ht="25.5">
      <c r="B89" s="52" t="s">
        <v>141</v>
      </c>
      <c r="E89" s="231"/>
      <c r="H89" s="61"/>
    </row>
    <row r="90" spans="1:10">
      <c r="B90" s="52" t="s">
        <v>20</v>
      </c>
      <c r="C90" s="214">
        <f>123.97*0.8</f>
        <v>99.176000000000002</v>
      </c>
      <c r="E90" s="230"/>
      <c r="F90" s="81"/>
      <c r="G90" s="213"/>
      <c r="H90" s="81"/>
    </row>
    <row r="91" spans="1:10">
      <c r="B91" s="52"/>
      <c r="E91" s="231"/>
      <c r="H91" s="41"/>
      <c r="J91" s="36"/>
    </row>
    <row r="92" spans="1:10">
      <c r="B92" s="52" t="s">
        <v>142</v>
      </c>
      <c r="E92" s="231"/>
      <c r="H92" s="61"/>
    </row>
    <row r="93" spans="1:10">
      <c r="B93" s="52" t="s">
        <v>20</v>
      </c>
      <c r="C93" s="214">
        <f>123.97*0.2</f>
        <v>24.794</v>
      </c>
      <c r="E93" s="232"/>
      <c r="F93" s="81"/>
      <c r="G93" s="213"/>
      <c r="H93" s="81"/>
    </row>
    <row r="94" spans="1:10">
      <c r="B94" s="52"/>
      <c r="E94" s="231"/>
      <c r="H94" s="61"/>
    </row>
    <row r="95" spans="1:10" ht="67.5" customHeight="1">
      <c r="A95" s="43" t="s">
        <v>37</v>
      </c>
      <c r="B95" s="52" t="s">
        <v>89</v>
      </c>
      <c r="E95" s="231"/>
      <c r="H95" s="61"/>
    </row>
    <row r="96" spans="1:10">
      <c r="B96" s="52"/>
      <c r="E96" s="231"/>
      <c r="H96" s="61"/>
    </row>
    <row r="97" spans="1:17" ht="25.5">
      <c r="B97" s="52" t="s">
        <v>141</v>
      </c>
      <c r="E97" s="231"/>
      <c r="H97" s="61"/>
    </row>
    <row r="98" spans="1:17">
      <c r="B98" s="52" t="s">
        <v>20</v>
      </c>
      <c r="C98" s="214">
        <f>0.72*0.8</f>
        <v>0.57599999999999996</v>
      </c>
      <c r="E98" s="238"/>
      <c r="F98" s="81"/>
      <c r="G98" s="213"/>
      <c r="H98" s="81"/>
    </row>
    <row r="99" spans="1:17">
      <c r="B99" s="52"/>
      <c r="E99" s="231"/>
      <c r="H99" s="41"/>
      <c r="J99" s="36"/>
    </row>
    <row r="100" spans="1:17">
      <c r="B100" s="52" t="s">
        <v>142</v>
      </c>
      <c r="E100" s="231"/>
      <c r="H100" s="61"/>
    </row>
    <row r="101" spans="1:17">
      <c r="B101" s="52" t="s">
        <v>20</v>
      </c>
      <c r="C101" s="214">
        <f>0.72*0.2</f>
        <v>0.14399999999999999</v>
      </c>
      <c r="E101" s="230"/>
      <c r="F101" s="81"/>
      <c r="G101" s="213"/>
      <c r="H101" s="81"/>
    </row>
    <row r="102" spans="1:17" s="68" customFormat="1">
      <c r="A102" s="69"/>
      <c r="B102" s="70"/>
      <c r="C102" s="66"/>
      <c r="D102" s="66"/>
      <c r="E102" s="231"/>
      <c r="F102" s="66"/>
      <c r="G102" s="97"/>
      <c r="H102" s="67"/>
      <c r="Q102" s="88"/>
    </row>
    <row r="103" spans="1:17" s="64" customFormat="1" ht="42" customHeight="1">
      <c r="A103" s="43" t="s">
        <v>45</v>
      </c>
      <c r="B103" s="52" t="s">
        <v>38</v>
      </c>
      <c r="C103" s="41"/>
      <c r="D103" s="41"/>
      <c r="E103" s="231"/>
      <c r="F103" s="41"/>
      <c r="G103" s="97"/>
      <c r="H103" s="61"/>
      <c r="I103" s="62"/>
      <c r="J103" s="63"/>
      <c r="M103" s="65"/>
      <c r="N103" s="65"/>
      <c r="O103" s="65"/>
      <c r="Q103" s="82"/>
    </row>
    <row r="104" spans="1:17">
      <c r="B104" s="52"/>
      <c r="C104" s="59"/>
      <c r="D104" s="59"/>
      <c r="E104" s="231"/>
      <c r="F104" s="59"/>
      <c r="G104" s="104"/>
      <c r="H104" s="64"/>
      <c r="Q104" s="87"/>
    </row>
    <row r="105" spans="1:17">
      <c r="B105" s="52" t="s">
        <v>25</v>
      </c>
      <c r="C105" s="214">
        <f>C41*0.75</f>
        <v>42.75</v>
      </c>
      <c r="E105" s="232"/>
      <c r="G105" s="213"/>
      <c r="H105" s="41"/>
    </row>
    <row r="106" spans="1:17">
      <c r="B106" s="52"/>
      <c r="E106" s="231"/>
      <c r="H106" s="61"/>
    </row>
    <row r="107" spans="1:17" s="64" customFormat="1" ht="140.25">
      <c r="A107" s="43" t="s">
        <v>46</v>
      </c>
      <c r="B107" s="52" t="s">
        <v>90</v>
      </c>
      <c r="C107" s="41"/>
      <c r="D107" s="41"/>
      <c r="E107" s="231"/>
      <c r="F107" s="41"/>
      <c r="G107" s="97"/>
      <c r="H107" s="61"/>
      <c r="I107" s="62"/>
      <c r="J107" s="63"/>
      <c r="M107" s="65"/>
      <c r="N107" s="65"/>
      <c r="O107" s="65"/>
      <c r="Q107" s="82"/>
    </row>
    <row r="108" spans="1:17">
      <c r="A108" s="71"/>
      <c r="B108" s="52"/>
      <c r="C108" s="59"/>
      <c r="D108" s="59"/>
      <c r="E108" s="231"/>
      <c r="F108" s="59"/>
      <c r="G108" s="104"/>
      <c r="H108" s="64"/>
      <c r="Q108" s="87"/>
    </row>
    <row r="109" spans="1:17">
      <c r="B109" s="52" t="s">
        <v>20</v>
      </c>
      <c r="C109" s="214">
        <v>8.1999999999999993</v>
      </c>
      <c r="E109" s="232"/>
      <c r="G109" s="213"/>
      <c r="H109" s="41"/>
    </row>
    <row r="110" spans="1:17">
      <c r="B110" s="52"/>
      <c r="C110" s="207" t="s">
        <v>170</v>
      </c>
      <c r="D110" s="203"/>
      <c r="E110" s="235" t="s">
        <v>171</v>
      </c>
      <c r="F110" s="203"/>
      <c r="G110" s="208" t="s">
        <v>164</v>
      </c>
      <c r="H110" s="61"/>
    </row>
    <row r="111" spans="1:17" s="64" customFormat="1" ht="114.75">
      <c r="A111" s="43" t="s">
        <v>47</v>
      </c>
      <c r="B111" s="52" t="s">
        <v>132</v>
      </c>
      <c r="C111" s="41"/>
      <c r="D111" s="41"/>
      <c r="E111" s="231"/>
      <c r="F111" s="41"/>
      <c r="G111" s="97"/>
      <c r="H111" s="61"/>
      <c r="I111" s="62"/>
      <c r="J111" s="63"/>
      <c r="M111" s="65"/>
      <c r="N111" s="65"/>
      <c r="O111" s="65"/>
      <c r="Q111" s="82"/>
    </row>
    <row r="112" spans="1:17">
      <c r="A112" s="71"/>
      <c r="B112" s="52"/>
      <c r="C112" s="59"/>
      <c r="D112" s="59"/>
      <c r="E112" s="231"/>
      <c r="F112" s="59"/>
      <c r="G112" s="104"/>
      <c r="H112" s="64"/>
      <c r="Q112" s="87"/>
    </row>
    <row r="113" spans="1:17">
      <c r="B113" s="52" t="s">
        <v>20</v>
      </c>
      <c r="C113" s="214">
        <v>27.85</v>
      </c>
      <c r="E113" s="232"/>
      <c r="G113" s="213"/>
      <c r="H113" s="41"/>
    </row>
    <row r="114" spans="1:17">
      <c r="B114" s="52"/>
      <c r="E114" s="231"/>
      <c r="H114" s="61"/>
    </row>
    <row r="115" spans="1:17" ht="89.25">
      <c r="A115" s="43" t="s">
        <v>48</v>
      </c>
      <c r="B115" s="52" t="s">
        <v>91</v>
      </c>
      <c r="E115" s="231"/>
      <c r="H115" s="61"/>
    </row>
    <row r="116" spans="1:17">
      <c r="A116" s="71"/>
      <c r="B116" s="52"/>
      <c r="E116" s="231"/>
      <c r="H116" s="61"/>
    </row>
    <row r="117" spans="1:17">
      <c r="B117" s="52" t="s">
        <v>20</v>
      </c>
      <c r="C117" s="214">
        <f>84.89*0.04</f>
        <v>3.3956</v>
      </c>
      <c r="E117" s="232"/>
      <c r="G117" s="213"/>
      <c r="H117" s="41"/>
    </row>
    <row r="118" spans="1:17">
      <c r="B118" s="52"/>
      <c r="E118" s="231"/>
      <c r="H118" s="61"/>
    </row>
    <row r="119" spans="1:17" s="64" customFormat="1" ht="38.25">
      <c r="A119" s="43" t="s">
        <v>49</v>
      </c>
      <c r="B119" s="52" t="s">
        <v>92</v>
      </c>
      <c r="C119" s="41"/>
      <c r="D119" s="41"/>
      <c r="E119" s="231"/>
      <c r="F119" s="41"/>
      <c r="G119" s="97"/>
      <c r="H119" s="61"/>
      <c r="Q119" s="82"/>
    </row>
    <row r="120" spans="1:17">
      <c r="A120" s="71"/>
      <c r="B120" s="52"/>
      <c r="C120" s="59"/>
      <c r="D120" s="59"/>
      <c r="E120" s="231"/>
      <c r="F120" s="59"/>
      <c r="G120" s="104"/>
      <c r="H120" s="64"/>
      <c r="I120" s="38"/>
      <c r="J120" s="38"/>
      <c r="M120" s="38"/>
      <c r="N120" s="38"/>
      <c r="O120" s="38"/>
      <c r="Q120" s="87"/>
    </row>
    <row r="121" spans="1:17">
      <c r="B121" s="52" t="s">
        <v>20</v>
      </c>
      <c r="C121" s="214">
        <f>84.89*0.96</f>
        <v>81.494399999999999</v>
      </c>
      <c r="E121" s="232"/>
      <c r="G121" s="213"/>
      <c r="H121" s="41"/>
      <c r="I121" s="38"/>
      <c r="J121" s="38"/>
      <c r="M121" s="38"/>
      <c r="N121" s="38"/>
      <c r="O121" s="38"/>
    </row>
    <row r="122" spans="1:17">
      <c r="B122" s="52"/>
      <c r="E122" s="231"/>
      <c r="H122" s="61"/>
      <c r="I122" s="38"/>
      <c r="J122" s="38"/>
      <c r="M122" s="38"/>
      <c r="N122" s="38"/>
      <c r="O122" s="38"/>
    </row>
    <row r="123" spans="1:17" ht="114.75">
      <c r="A123" s="43" t="s">
        <v>50</v>
      </c>
      <c r="B123" s="52" t="s">
        <v>177</v>
      </c>
      <c r="E123" s="231"/>
      <c r="H123" s="61"/>
      <c r="K123" s="52"/>
    </row>
    <row r="124" spans="1:17">
      <c r="A124" s="71"/>
      <c r="B124" s="52"/>
      <c r="E124" s="231"/>
      <c r="H124" s="61"/>
    </row>
    <row r="125" spans="1:17">
      <c r="B125" s="52" t="s">
        <v>20</v>
      </c>
      <c r="C125" s="214">
        <v>0.8</v>
      </c>
      <c r="E125" s="232"/>
      <c r="G125" s="213"/>
      <c r="H125" s="41"/>
    </row>
    <row r="126" spans="1:17">
      <c r="B126" s="52"/>
      <c r="C126" s="207" t="s">
        <v>170</v>
      </c>
      <c r="D126" s="203"/>
      <c r="E126" s="235" t="s">
        <v>171</v>
      </c>
      <c r="F126" s="203"/>
      <c r="G126" s="208" t="s">
        <v>164</v>
      </c>
      <c r="H126" s="61"/>
    </row>
    <row r="127" spans="1:17" ht="331.5" customHeight="1">
      <c r="A127" s="43" t="s">
        <v>51</v>
      </c>
      <c r="B127" s="16" t="s">
        <v>168</v>
      </c>
      <c r="E127" s="231"/>
      <c r="H127" s="61"/>
    </row>
    <row r="128" spans="1:17">
      <c r="A128" s="71"/>
      <c r="B128" s="72"/>
      <c r="E128" s="231"/>
      <c r="H128" s="61"/>
    </row>
    <row r="129" spans="1:17">
      <c r="B129" s="52" t="s">
        <v>25</v>
      </c>
      <c r="C129" s="214">
        <f>C84</f>
        <v>4</v>
      </c>
      <c r="E129" s="230"/>
      <c r="G129" s="213"/>
      <c r="H129" s="41"/>
    </row>
    <row r="130" spans="1:17">
      <c r="B130" s="52"/>
      <c r="E130" s="231"/>
      <c r="H130" s="61"/>
    </row>
    <row r="131" spans="1:17" ht="116.25">
      <c r="A131" s="43" t="s">
        <v>57</v>
      </c>
      <c r="B131" s="52" t="s">
        <v>96</v>
      </c>
      <c r="E131" s="231"/>
      <c r="H131" s="61"/>
    </row>
    <row r="132" spans="1:17">
      <c r="B132" s="52"/>
      <c r="E132" s="231"/>
      <c r="H132" s="61"/>
    </row>
    <row r="133" spans="1:17">
      <c r="B133" s="52" t="s">
        <v>20</v>
      </c>
      <c r="C133" s="214">
        <f>(124.68-C121)*1.3</f>
        <v>56.141280000000009</v>
      </c>
      <c r="E133" s="232"/>
      <c r="G133" s="213"/>
      <c r="H133" s="41"/>
    </row>
    <row r="134" spans="1:17">
      <c r="B134" s="52"/>
      <c r="E134" s="231"/>
      <c r="H134" s="61"/>
    </row>
    <row r="135" spans="1:17" ht="127.5">
      <c r="A135" s="43" t="s">
        <v>58</v>
      </c>
      <c r="B135" s="52" t="s">
        <v>131</v>
      </c>
      <c r="E135" s="231"/>
      <c r="H135" s="61"/>
    </row>
    <row r="136" spans="1:17">
      <c r="B136" s="52"/>
      <c r="E136" s="231"/>
      <c r="H136" s="61"/>
    </row>
    <row r="137" spans="1:17">
      <c r="B137" s="52" t="s">
        <v>25</v>
      </c>
      <c r="C137" s="214">
        <f>C80/0.15</f>
        <v>108.66666666666667</v>
      </c>
      <c r="E137" s="232"/>
      <c r="G137" s="213"/>
      <c r="H137" s="41"/>
    </row>
    <row r="138" spans="1:17">
      <c r="B138" s="52"/>
      <c r="C138" s="207" t="s">
        <v>170</v>
      </c>
      <c r="D138" s="203"/>
      <c r="E138" s="235" t="s">
        <v>171</v>
      </c>
      <c r="F138" s="203"/>
      <c r="G138" s="208" t="s">
        <v>164</v>
      </c>
      <c r="H138" s="61"/>
    </row>
    <row r="139" spans="1:17" ht="55.7" customHeight="1">
      <c r="A139" s="43" t="s">
        <v>64</v>
      </c>
      <c r="B139" s="52" t="s">
        <v>97</v>
      </c>
      <c r="E139" s="231"/>
      <c r="H139" s="61"/>
    </row>
    <row r="140" spans="1:17">
      <c r="B140" s="52"/>
      <c r="E140" s="231"/>
      <c r="H140" s="61"/>
    </row>
    <row r="141" spans="1:17">
      <c r="B141" s="52" t="s">
        <v>41</v>
      </c>
      <c r="C141" s="214">
        <v>1</v>
      </c>
      <c r="E141" s="232"/>
      <c r="G141" s="213"/>
      <c r="H141" s="41"/>
    </row>
    <row r="142" spans="1:17">
      <c r="B142" s="52"/>
      <c r="E142" s="231"/>
      <c r="H142" s="61"/>
    </row>
    <row r="143" spans="1:17" s="64" customFormat="1" ht="63.75">
      <c r="A143" s="43" t="s">
        <v>65</v>
      </c>
      <c r="B143" s="52" t="s">
        <v>7</v>
      </c>
      <c r="C143" s="41"/>
      <c r="D143" s="41"/>
      <c r="E143" s="231"/>
      <c r="F143" s="41"/>
      <c r="G143" s="97"/>
      <c r="H143" s="61"/>
      <c r="I143" s="62"/>
      <c r="J143" s="63"/>
      <c r="M143" s="65"/>
      <c r="N143" s="65"/>
      <c r="O143" s="65"/>
      <c r="Q143" s="82"/>
    </row>
    <row r="144" spans="1:17">
      <c r="B144" s="52"/>
      <c r="C144" s="59"/>
      <c r="D144" s="59"/>
      <c r="E144" s="233"/>
      <c r="F144" s="59"/>
      <c r="G144" s="104"/>
      <c r="H144" s="64"/>
      <c r="Q144" s="87"/>
    </row>
    <row r="145" spans="1:17">
      <c r="B145" s="52" t="s">
        <v>39</v>
      </c>
      <c r="E145" s="231"/>
      <c r="G145" s="213"/>
      <c r="H145" s="41"/>
    </row>
    <row r="146" spans="1:17">
      <c r="B146" s="52"/>
      <c r="E146" s="231"/>
      <c r="H146" s="61"/>
    </row>
    <row r="147" spans="1:17" s="7" customFormat="1">
      <c r="A147" s="43"/>
      <c r="B147" s="60" t="s">
        <v>21</v>
      </c>
      <c r="C147" s="56"/>
      <c r="D147" s="56"/>
      <c r="E147" s="239"/>
      <c r="F147" s="56"/>
      <c r="G147" s="209"/>
      <c r="H147" s="49"/>
      <c r="I147" s="26"/>
      <c r="J147" s="22"/>
      <c r="M147" s="30"/>
      <c r="N147" s="30"/>
      <c r="O147" s="30"/>
      <c r="Q147" s="86"/>
    </row>
    <row r="148" spans="1:17" ht="15.95" customHeight="1">
      <c r="A148" s="47"/>
      <c r="B148" s="9"/>
      <c r="C148" s="56"/>
      <c r="D148" s="56"/>
      <c r="E148" s="239"/>
      <c r="F148" s="56"/>
      <c r="G148" s="100"/>
      <c r="Q148" s="86"/>
    </row>
    <row r="149" spans="1:17">
      <c r="A149" s="11" t="s">
        <v>42</v>
      </c>
      <c r="B149" s="9" t="s">
        <v>18</v>
      </c>
      <c r="C149" s="46"/>
      <c r="D149" s="7"/>
      <c r="E149" s="237"/>
      <c r="F149" s="7"/>
      <c r="G149" s="99"/>
      <c r="H149" s="7"/>
      <c r="Q149" s="91"/>
    </row>
    <row r="150" spans="1:17">
      <c r="A150" s="11"/>
      <c r="B150" s="9"/>
      <c r="C150" s="46"/>
      <c r="D150" s="7"/>
      <c r="E150" s="237"/>
      <c r="F150" s="7"/>
      <c r="G150" s="99"/>
      <c r="H150" s="7"/>
      <c r="Q150" s="91"/>
    </row>
    <row r="151" spans="1:17" ht="43.5" customHeight="1">
      <c r="A151" s="43" t="s">
        <v>112</v>
      </c>
      <c r="B151" s="73" t="s">
        <v>98</v>
      </c>
      <c r="E151" s="231"/>
      <c r="H151" s="61"/>
    </row>
    <row r="152" spans="1:17">
      <c r="B152" s="52"/>
      <c r="E152" s="231"/>
      <c r="H152" s="61"/>
    </row>
    <row r="153" spans="1:17">
      <c r="B153" s="52" t="s">
        <v>22</v>
      </c>
      <c r="C153" s="214">
        <v>56</v>
      </c>
      <c r="E153" s="232"/>
      <c r="G153" s="213"/>
      <c r="H153" s="41"/>
    </row>
    <row r="154" spans="1:17">
      <c r="B154" s="52"/>
      <c r="C154" s="120"/>
      <c r="E154" s="231"/>
      <c r="H154" s="41"/>
    </row>
    <row r="155" spans="1:17" ht="97.5" customHeight="1">
      <c r="A155" s="43" t="s">
        <v>78</v>
      </c>
      <c r="B155" s="73" t="s">
        <v>99</v>
      </c>
      <c r="E155" s="231"/>
      <c r="H155" s="61"/>
    </row>
    <row r="156" spans="1:17">
      <c r="B156" s="52"/>
      <c r="E156" s="231"/>
      <c r="H156" s="61"/>
    </row>
    <row r="157" spans="1:17">
      <c r="B157" s="52" t="s">
        <v>22</v>
      </c>
      <c r="C157" s="214">
        <v>56</v>
      </c>
      <c r="E157" s="230"/>
      <c r="G157" s="213"/>
      <c r="H157" s="41"/>
    </row>
    <row r="158" spans="1:17" s="79" customFormat="1">
      <c r="A158" s="43"/>
      <c r="B158" s="52"/>
      <c r="C158" s="124"/>
      <c r="D158" s="41"/>
      <c r="E158" s="231"/>
      <c r="F158" s="41"/>
      <c r="G158" s="97"/>
      <c r="H158" s="41"/>
      <c r="Q158" s="95"/>
    </row>
    <row r="159" spans="1:17" s="79" customFormat="1" ht="114" customHeight="1">
      <c r="A159" s="43" t="s">
        <v>101</v>
      </c>
      <c r="B159" s="10" t="s">
        <v>195</v>
      </c>
      <c r="C159" s="41"/>
      <c r="D159" s="41"/>
      <c r="E159" s="231"/>
      <c r="F159" s="41"/>
      <c r="G159" s="97"/>
      <c r="H159" s="125"/>
      <c r="K159" s="10"/>
      <c r="Q159" s="82"/>
    </row>
    <row r="160" spans="1:17" s="79" customFormat="1">
      <c r="A160" s="43"/>
      <c r="B160" s="10"/>
      <c r="C160" s="41"/>
      <c r="D160" s="41"/>
      <c r="E160" s="231"/>
      <c r="F160" s="41"/>
      <c r="G160" s="97"/>
      <c r="H160" s="125"/>
      <c r="K160" s="10"/>
      <c r="Q160" s="82"/>
    </row>
    <row r="161" spans="1:17" s="79" customFormat="1">
      <c r="A161" s="43"/>
      <c r="B161" s="52" t="s">
        <v>117</v>
      </c>
      <c r="C161" s="216">
        <v>3</v>
      </c>
      <c r="D161" s="41"/>
      <c r="E161" s="232"/>
      <c r="F161" s="41"/>
      <c r="G161" s="213"/>
      <c r="H161" s="41"/>
      <c r="Q161" s="95"/>
    </row>
    <row r="162" spans="1:17" s="79" customFormat="1">
      <c r="A162" s="43"/>
      <c r="B162" s="52"/>
      <c r="C162" s="124"/>
      <c r="D162" s="41"/>
      <c r="E162" s="231"/>
      <c r="F162" s="41"/>
      <c r="G162" s="97"/>
      <c r="H162" s="41"/>
      <c r="Q162" s="95"/>
    </row>
    <row r="163" spans="1:17" s="79" customFormat="1">
      <c r="A163" s="43"/>
      <c r="B163" s="52"/>
      <c r="C163" s="207" t="s">
        <v>170</v>
      </c>
      <c r="D163" s="203"/>
      <c r="E163" s="235" t="s">
        <v>171</v>
      </c>
      <c r="F163" s="203"/>
      <c r="G163" s="208" t="s">
        <v>164</v>
      </c>
      <c r="H163" s="41"/>
      <c r="Q163" s="95"/>
    </row>
    <row r="164" spans="1:17" s="79" customFormat="1" ht="165.75">
      <c r="A164" s="43" t="s">
        <v>79</v>
      </c>
      <c r="B164" s="10" t="s">
        <v>194</v>
      </c>
      <c r="C164" s="41"/>
      <c r="D164" s="41"/>
      <c r="E164" s="231"/>
      <c r="F164" s="41"/>
      <c r="G164" s="97"/>
      <c r="H164" s="125"/>
      <c r="K164" s="10"/>
      <c r="Q164" s="82"/>
    </row>
    <row r="165" spans="1:17" s="79" customFormat="1">
      <c r="A165" s="43"/>
      <c r="B165" s="52"/>
      <c r="C165" s="41"/>
      <c r="D165" s="41"/>
      <c r="E165" s="231"/>
      <c r="F165" s="41"/>
      <c r="G165" s="97"/>
      <c r="H165" s="125"/>
      <c r="Q165" s="82"/>
    </row>
    <row r="166" spans="1:17" s="79" customFormat="1">
      <c r="A166" s="43"/>
      <c r="B166" s="52" t="s">
        <v>117</v>
      </c>
      <c r="C166" s="216">
        <f>C161</f>
        <v>3</v>
      </c>
      <c r="D166" s="41"/>
      <c r="E166" s="232"/>
      <c r="F166" s="41"/>
      <c r="G166" s="213"/>
      <c r="H166" s="41"/>
      <c r="Q166" s="95"/>
    </row>
    <row r="167" spans="1:17" s="5" customFormat="1">
      <c r="A167" s="6"/>
      <c r="B167" s="10"/>
      <c r="C167" s="4"/>
      <c r="D167" s="2"/>
      <c r="E167" s="231"/>
      <c r="F167" s="2"/>
      <c r="G167" s="105"/>
      <c r="H167" s="2"/>
      <c r="Q167" s="89"/>
    </row>
    <row r="168" spans="1:17" s="5" customFormat="1" ht="191.25">
      <c r="A168" s="6" t="s">
        <v>109</v>
      </c>
      <c r="B168" s="126" t="s">
        <v>167</v>
      </c>
      <c r="C168" s="2"/>
      <c r="D168" s="2"/>
      <c r="E168" s="231"/>
      <c r="F168" s="2"/>
      <c r="G168" s="105"/>
      <c r="H168" s="15"/>
      <c r="K168" s="10"/>
      <c r="Q168" s="89"/>
    </row>
    <row r="169" spans="1:17" s="5" customFormat="1">
      <c r="A169" s="6"/>
      <c r="B169" s="10"/>
      <c r="C169" s="2"/>
      <c r="D169" s="2"/>
      <c r="E169" s="231"/>
      <c r="F169" s="2"/>
      <c r="G169" s="105"/>
      <c r="H169" s="15"/>
      <c r="Q169" s="89"/>
    </row>
    <row r="170" spans="1:17" s="5" customFormat="1">
      <c r="A170" s="6"/>
      <c r="B170" s="10" t="s">
        <v>23</v>
      </c>
      <c r="C170" s="217">
        <v>3</v>
      </c>
      <c r="D170" s="2"/>
      <c r="E170" s="232"/>
      <c r="F170" s="2"/>
      <c r="G170" s="218"/>
      <c r="H170" s="2"/>
      <c r="J170" s="122"/>
      <c r="Q170" s="89"/>
    </row>
    <row r="171" spans="1:17">
      <c r="B171" s="52"/>
      <c r="E171" s="231"/>
      <c r="H171" s="61"/>
      <c r="I171" s="38"/>
      <c r="J171" s="38"/>
      <c r="M171" s="38"/>
      <c r="N171" s="38"/>
      <c r="O171" s="38"/>
    </row>
    <row r="172" spans="1:17" ht="40.5" customHeight="1">
      <c r="A172" s="43" t="s">
        <v>1</v>
      </c>
      <c r="B172" s="52" t="s">
        <v>104</v>
      </c>
      <c r="E172" s="231"/>
      <c r="H172" s="61"/>
    </row>
    <row r="173" spans="1:17">
      <c r="B173" s="52"/>
      <c r="E173" s="231"/>
      <c r="H173" s="61"/>
    </row>
    <row r="174" spans="1:17">
      <c r="B174" s="52" t="s">
        <v>23</v>
      </c>
      <c r="C174" s="214">
        <v>3</v>
      </c>
      <c r="E174" s="232"/>
      <c r="G174" s="213"/>
      <c r="H174" s="41"/>
      <c r="Q174" s="95"/>
    </row>
    <row r="175" spans="1:17">
      <c r="B175" s="52"/>
      <c r="E175" s="231"/>
      <c r="H175" s="41"/>
      <c r="Q175" s="95"/>
    </row>
    <row r="176" spans="1:17" ht="30.75" customHeight="1">
      <c r="A176" s="43" t="s">
        <v>105</v>
      </c>
      <c r="B176" s="52" t="s">
        <v>103</v>
      </c>
      <c r="E176" s="231"/>
      <c r="H176" s="61"/>
    </row>
    <row r="177" spans="1:17">
      <c r="B177" s="52"/>
      <c r="E177" s="231"/>
      <c r="H177" s="49"/>
    </row>
    <row r="178" spans="1:17">
      <c r="B178" s="52" t="s">
        <v>22</v>
      </c>
      <c r="C178" s="214">
        <v>56</v>
      </c>
      <c r="E178" s="230"/>
      <c r="G178" s="213"/>
      <c r="H178" s="41"/>
    </row>
    <row r="179" spans="1:17">
      <c r="B179" s="52"/>
      <c r="E179" s="231"/>
      <c r="H179" s="41"/>
      <c r="Q179" s="95"/>
    </row>
    <row r="180" spans="1:17" ht="42.75" customHeight="1">
      <c r="A180" s="43" t="s">
        <v>2</v>
      </c>
      <c r="B180" s="52" t="s">
        <v>102</v>
      </c>
      <c r="E180" s="231"/>
      <c r="H180" s="61"/>
    </row>
    <row r="181" spans="1:17">
      <c r="B181" s="52"/>
      <c r="E181" s="231"/>
      <c r="H181" s="49"/>
    </row>
    <row r="182" spans="1:17">
      <c r="B182" s="52" t="s">
        <v>22</v>
      </c>
      <c r="C182" s="214">
        <v>56</v>
      </c>
      <c r="E182" s="230"/>
      <c r="G182" s="213"/>
      <c r="H182" s="41"/>
    </row>
    <row r="183" spans="1:17">
      <c r="B183" s="52"/>
      <c r="C183" s="207" t="s">
        <v>170</v>
      </c>
      <c r="D183" s="203"/>
      <c r="E183" s="235" t="s">
        <v>171</v>
      </c>
      <c r="F183" s="203"/>
      <c r="G183" s="208" t="s">
        <v>164</v>
      </c>
      <c r="H183" s="41"/>
    </row>
    <row r="184" spans="1:17" ht="22.5" customHeight="1">
      <c r="A184" s="43" t="s">
        <v>110</v>
      </c>
      <c r="B184" s="52" t="s">
        <v>106</v>
      </c>
      <c r="E184" s="231"/>
      <c r="H184" s="61"/>
    </row>
    <row r="185" spans="1:17">
      <c r="B185" s="52"/>
      <c r="E185" s="231"/>
      <c r="H185" s="49"/>
    </row>
    <row r="186" spans="1:17">
      <c r="B186" s="52" t="s">
        <v>22</v>
      </c>
      <c r="C186" s="214">
        <v>56</v>
      </c>
      <c r="E186" s="230"/>
      <c r="G186" s="213"/>
      <c r="H186" s="41"/>
    </row>
    <row r="187" spans="1:17">
      <c r="B187" s="52"/>
      <c r="H187" s="61"/>
    </row>
    <row r="188" spans="1:17" s="5" customFormat="1">
      <c r="A188" s="6"/>
      <c r="B188" s="10"/>
      <c r="H188" s="15"/>
      <c r="Q188" s="89"/>
    </row>
    <row r="189" spans="1:17" s="64" customFormat="1" ht="63.75">
      <c r="A189" s="43" t="s">
        <v>111</v>
      </c>
      <c r="B189" s="52" t="s">
        <v>9</v>
      </c>
      <c r="C189" s="41"/>
      <c r="D189" s="41"/>
      <c r="E189" s="107"/>
      <c r="F189" s="41"/>
      <c r="G189" s="97"/>
      <c r="H189" s="61"/>
      <c r="I189" s="62"/>
      <c r="J189" s="63"/>
      <c r="M189" s="65"/>
      <c r="N189" s="65"/>
      <c r="O189" s="65"/>
      <c r="Q189" s="82"/>
    </row>
    <row r="190" spans="1:17">
      <c r="B190" s="52"/>
      <c r="C190" s="59"/>
      <c r="D190" s="59"/>
      <c r="E190" s="114"/>
      <c r="F190" s="59"/>
      <c r="G190" s="104"/>
      <c r="H190" s="64"/>
      <c r="Q190" s="87"/>
    </row>
    <row r="191" spans="1:17">
      <c r="B191" s="52" t="s">
        <v>39</v>
      </c>
      <c r="G191" s="213"/>
      <c r="H191" s="41"/>
      <c r="J191" s="97"/>
      <c r="K191" s="97"/>
    </row>
    <row r="192" spans="1:17">
      <c r="B192" s="52"/>
      <c r="H192" s="61"/>
    </row>
    <row r="193" spans="2:17">
      <c r="B193" s="48" t="s">
        <v>24</v>
      </c>
      <c r="C193" s="56"/>
      <c r="D193" s="56"/>
      <c r="E193" s="112"/>
      <c r="F193" s="56"/>
      <c r="G193" s="209"/>
      <c r="Q193" s="86"/>
    </row>
    <row r="194" spans="2:17">
      <c r="H194" s="61"/>
    </row>
  </sheetData>
  <sheetProtection selectLockedCells="1"/>
  <mergeCells count="2">
    <mergeCell ref="E22:G22"/>
    <mergeCell ref="E23:G23"/>
  </mergeCells>
  <conditionalFormatting sqref="G14:G17 C41:G57 C60:G85 C90:G109 C113:G125 C127:G137 C141:G161 C166:G182 C184:G186 C191:G193">
    <cfRule type="cellIs" dxfId="12" priority="4" stopIfTrue="1" operator="greaterThan">
      <formula>0</formula>
    </cfRule>
  </conditionalFormatting>
  <pageMargins left="1.1811023622047245" right="0.15748031496062992" top="0.59055118110236227" bottom="0.59055118110236227" header="0.39370078740157483" footer="0.39370078740157483"/>
  <pageSetup paperSize="9" orientation="portrait" useFirstPageNumber="1" r:id="rId1"/>
  <headerFooter alignWithMargins="0">
    <oddHeader>&amp;R&amp;"Arial,Navadno"&amp;9KANAL PV4</oddHeader>
    <oddFooter>&amp;C&amp;"Arial,Navadno"&amp;10&amp;P</oddFooter>
  </headerFooter>
  <rowBreaks count="8" manualBreakCount="8">
    <brk id="33" max="6" man="1"/>
    <brk id="57" max="6" man="1"/>
    <brk id="84" max="6" man="1"/>
    <brk id="109" max="6" man="1"/>
    <brk id="125" max="6" man="1"/>
    <brk id="137" max="6" man="1"/>
    <brk id="162" max="6" man="1"/>
    <brk id="182" max="6"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245"/>
  <sheetViews>
    <sheetView view="pageBreakPreview" topLeftCell="A20" zoomScale="60" zoomScaleNormal="100" workbookViewId="0">
      <selection activeCell="E42" sqref="E42:E241"/>
    </sheetView>
  </sheetViews>
  <sheetFormatPr defaultColWidth="8.6640625" defaultRowHeight="15.75"/>
  <cols>
    <col min="1" max="1" width="6.5546875" style="43" customWidth="1"/>
    <col min="2" max="2" width="27.44140625" style="53" customWidth="1"/>
    <col min="3" max="3" width="7.44140625" style="41" customWidth="1"/>
    <col min="4" max="4" width="1.109375" style="41" customWidth="1"/>
    <col min="5" max="5" width="11.109375" style="107" customWidth="1"/>
    <col min="6" max="6" width="3.44140625" style="41" customWidth="1"/>
    <col min="7" max="7" width="14" style="97" customWidth="1"/>
    <col min="8" max="8" width="3.6640625" style="38" customWidth="1"/>
    <col min="9" max="9" width="14.88671875" style="36" customWidth="1"/>
    <col min="10" max="10" width="8.6640625" style="37" customWidth="1"/>
    <col min="11" max="11" width="25.5546875" style="38" customWidth="1"/>
    <col min="12" max="12" width="15.5546875" style="38" customWidth="1"/>
    <col min="13" max="15" width="8.6640625" style="39" customWidth="1"/>
    <col min="16" max="16" width="8.6640625" style="38" customWidth="1"/>
    <col min="17" max="17" width="11.109375" style="82" customWidth="1"/>
    <col min="18" max="16384" width="8.6640625" style="38"/>
  </cols>
  <sheetData>
    <row r="1" spans="1:17" s="79" customFormat="1" ht="15.95" customHeight="1">
      <c r="A1" s="34"/>
      <c r="B1" s="35" t="s">
        <v>11</v>
      </c>
      <c r="C1" s="1" t="s">
        <v>123</v>
      </c>
      <c r="D1" s="33"/>
      <c r="E1" s="33"/>
      <c r="F1" s="2"/>
      <c r="G1" s="96"/>
      <c r="H1" s="78"/>
      <c r="Q1" s="90"/>
    </row>
    <row r="2" spans="1:17" s="79" customFormat="1" ht="15.95" customHeight="1">
      <c r="A2" s="34"/>
      <c r="B2" s="35"/>
      <c r="C2" s="1" t="s">
        <v>124</v>
      </c>
      <c r="D2" s="33"/>
      <c r="E2" s="33"/>
      <c r="F2" s="2"/>
      <c r="G2" s="96"/>
      <c r="H2" s="78"/>
      <c r="Q2" s="90"/>
    </row>
    <row r="3" spans="1:17" s="79" customFormat="1" ht="15.95" customHeight="1">
      <c r="A3" s="34"/>
      <c r="B3" s="35" t="s">
        <v>8</v>
      </c>
      <c r="C3" s="40" t="s">
        <v>216</v>
      </c>
      <c r="D3" s="33"/>
      <c r="E3" s="106"/>
      <c r="F3" s="2"/>
      <c r="G3" s="96"/>
      <c r="H3" s="78"/>
      <c r="Q3" s="90"/>
    </row>
    <row r="4" spans="1:17" s="79" customFormat="1">
      <c r="A4" s="34"/>
      <c r="B4" s="35" t="s">
        <v>12</v>
      </c>
      <c r="C4" s="40" t="s">
        <v>207</v>
      </c>
      <c r="D4" s="41"/>
      <c r="E4" s="107"/>
      <c r="F4" s="41"/>
      <c r="G4" s="97"/>
      <c r="Q4" s="82"/>
    </row>
    <row r="5" spans="1:17" s="79" customFormat="1">
      <c r="A5" s="34"/>
      <c r="B5" s="35" t="s">
        <v>13</v>
      </c>
      <c r="C5" s="1" t="s">
        <v>172</v>
      </c>
      <c r="D5" s="33"/>
      <c r="E5" s="106"/>
      <c r="F5" s="2"/>
      <c r="G5" s="97"/>
      <c r="Q5" s="90"/>
    </row>
    <row r="6" spans="1:17">
      <c r="A6" s="34"/>
      <c r="B6" s="35"/>
      <c r="C6" s="42" t="s">
        <v>173</v>
      </c>
    </row>
    <row r="7" spans="1:17">
      <c r="A7" s="34"/>
      <c r="B7" s="35"/>
      <c r="C7" s="42"/>
    </row>
    <row r="9" spans="1:17" ht="18">
      <c r="A9" s="43" t="s">
        <v>14</v>
      </c>
      <c r="B9" s="44" t="s">
        <v>52</v>
      </c>
      <c r="C9" s="45"/>
      <c r="D9" s="45"/>
      <c r="E9" s="108"/>
      <c r="F9" s="45"/>
      <c r="G9" s="98"/>
      <c r="Q9" s="83"/>
    </row>
    <row r="10" spans="1:17">
      <c r="B10" s="45"/>
      <c r="C10" s="45"/>
      <c r="D10" s="45"/>
      <c r="E10" s="108"/>
      <c r="F10" s="45"/>
      <c r="G10" s="98"/>
      <c r="Q10" s="83"/>
    </row>
    <row r="12" spans="1:17" s="7" customFormat="1">
      <c r="A12" s="8" t="s">
        <v>15</v>
      </c>
      <c r="B12" s="9" t="s">
        <v>16</v>
      </c>
      <c r="C12" s="46"/>
      <c r="E12" s="109"/>
      <c r="G12" s="99"/>
      <c r="I12" s="26"/>
      <c r="J12" s="22"/>
      <c r="M12" s="30"/>
      <c r="N12" s="30"/>
      <c r="O12" s="30"/>
      <c r="Q12" s="91"/>
    </row>
    <row r="13" spans="1:17" s="7" customFormat="1">
      <c r="A13" s="8"/>
      <c r="B13" s="9"/>
      <c r="C13" s="46"/>
      <c r="E13" s="109"/>
      <c r="G13" s="99"/>
      <c r="I13" s="26"/>
      <c r="J13" s="22"/>
      <c r="M13" s="30"/>
      <c r="N13" s="30"/>
      <c r="O13" s="30"/>
      <c r="Q13" s="91"/>
    </row>
    <row r="14" spans="1:17" s="7" customFormat="1">
      <c r="A14" s="47" t="s">
        <v>27</v>
      </c>
      <c r="B14" s="48" t="s">
        <v>26</v>
      </c>
      <c r="C14" s="49"/>
      <c r="D14" s="49"/>
      <c r="E14" s="110"/>
      <c r="F14" s="49"/>
      <c r="G14" s="209"/>
      <c r="H14" s="80"/>
      <c r="I14" s="26"/>
      <c r="J14" s="22"/>
      <c r="K14" s="119"/>
      <c r="M14" s="30"/>
      <c r="N14" s="30"/>
      <c r="O14" s="30"/>
      <c r="Q14" s="84"/>
    </row>
    <row r="15" spans="1:17">
      <c r="A15" s="47" t="s">
        <v>32</v>
      </c>
      <c r="B15" s="48" t="s">
        <v>17</v>
      </c>
      <c r="C15" s="49"/>
      <c r="D15" s="49"/>
      <c r="E15" s="110"/>
      <c r="F15" s="49"/>
      <c r="G15" s="209"/>
      <c r="H15" s="80"/>
      <c r="K15" s="116"/>
      <c r="Q15" s="84"/>
    </row>
    <row r="16" spans="1:17">
      <c r="A16" s="47" t="s">
        <v>42</v>
      </c>
      <c r="B16" s="48" t="s">
        <v>18</v>
      </c>
      <c r="C16" s="49"/>
      <c r="D16" s="49"/>
      <c r="E16" s="110"/>
      <c r="F16" s="49"/>
      <c r="G16" s="209"/>
      <c r="H16" s="80"/>
      <c r="K16" s="116"/>
      <c r="Q16" s="84"/>
    </row>
    <row r="17" spans="1:17" s="79" customFormat="1" ht="31.5">
      <c r="A17" s="47" t="s">
        <v>0</v>
      </c>
      <c r="B17" s="48" t="s">
        <v>40</v>
      </c>
      <c r="C17" s="49"/>
      <c r="D17" s="49"/>
      <c r="E17" s="110"/>
      <c r="F17" s="49"/>
      <c r="G17" s="209"/>
      <c r="H17" s="80"/>
      <c r="Q17" s="84"/>
    </row>
    <row r="18" spans="1:17">
      <c r="A18" s="47"/>
      <c r="B18" s="48"/>
      <c r="C18" s="49"/>
      <c r="D18" s="49"/>
      <c r="E18" s="110"/>
      <c r="F18" s="49"/>
      <c r="G18" s="100"/>
      <c r="K18" s="116"/>
      <c r="Q18" s="84"/>
    </row>
    <row r="19" spans="1:17" ht="16.5" thickBot="1">
      <c r="A19" s="47"/>
      <c r="B19" s="50" t="s">
        <v>53</v>
      </c>
      <c r="C19" s="51"/>
      <c r="D19" s="51"/>
      <c r="E19" s="111"/>
      <c r="F19" s="51"/>
      <c r="G19" s="210"/>
      <c r="H19" s="80"/>
      <c r="K19" s="117"/>
      <c r="Q19" s="85"/>
    </row>
    <row r="23" spans="1:17" ht="15.95" customHeight="1">
      <c r="B23" s="53" t="s">
        <v>81</v>
      </c>
      <c r="E23" s="458" t="s">
        <v>143</v>
      </c>
      <c r="F23" s="458"/>
      <c r="G23" s="458"/>
    </row>
    <row r="24" spans="1:17" ht="84.75" customHeight="1">
      <c r="B24" s="53" t="s">
        <v>84</v>
      </c>
      <c r="E24" s="458" t="s">
        <v>241</v>
      </c>
      <c r="F24" s="458"/>
      <c r="G24" s="458"/>
    </row>
    <row r="26" spans="1:17">
      <c r="B26" s="53" t="s">
        <v>82</v>
      </c>
    </row>
    <row r="27" spans="1:17" ht="63.75">
      <c r="B27" s="53" t="s">
        <v>83</v>
      </c>
    </row>
    <row r="29" spans="1:17">
      <c r="K29" s="53"/>
    </row>
    <row r="30" spans="1:17">
      <c r="K30" s="53"/>
    </row>
    <row r="34" spans="1:17">
      <c r="B34" s="53" t="s">
        <v>166</v>
      </c>
    </row>
    <row r="35" spans="1:17" s="7" customFormat="1">
      <c r="A35" s="43"/>
      <c r="B35" s="53"/>
      <c r="C35" s="41"/>
      <c r="D35" s="41"/>
      <c r="E35" s="107"/>
      <c r="F35" s="41"/>
      <c r="G35" s="97"/>
      <c r="H35" s="38"/>
      <c r="I35" s="26"/>
      <c r="J35" s="22"/>
      <c r="M35" s="30"/>
      <c r="N35" s="30"/>
      <c r="O35" s="30"/>
      <c r="Q35" s="82"/>
    </row>
    <row r="36" spans="1:17">
      <c r="A36" s="11" t="s">
        <v>19</v>
      </c>
      <c r="B36" s="9" t="s">
        <v>16</v>
      </c>
      <c r="C36" s="46"/>
      <c r="D36" s="7"/>
      <c r="E36" s="109"/>
      <c r="F36" s="7"/>
      <c r="G36" s="99"/>
      <c r="H36" s="7"/>
      <c r="Q36" s="91"/>
    </row>
    <row r="37" spans="1:17" s="7" customFormat="1">
      <c r="A37" s="43"/>
      <c r="B37" s="55"/>
      <c r="C37" s="56"/>
      <c r="D37" s="56"/>
      <c r="E37" s="112"/>
      <c r="F37" s="56"/>
      <c r="G37" s="101"/>
      <c r="H37" s="38"/>
      <c r="I37" s="26"/>
      <c r="J37" s="22"/>
      <c r="M37" s="30"/>
      <c r="N37" s="30"/>
      <c r="O37" s="30"/>
      <c r="Q37" s="86"/>
    </row>
    <row r="38" spans="1:17" s="7" customFormat="1">
      <c r="A38" s="11" t="s">
        <v>27</v>
      </c>
      <c r="B38" s="9" t="s">
        <v>26</v>
      </c>
      <c r="C38" s="46"/>
      <c r="E38" s="109"/>
      <c r="G38" s="99"/>
      <c r="I38" s="26"/>
      <c r="J38" s="22"/>
      <c r="M38" s="30"/>
      <c r="N38" s="30"/>
      <c r="O38" s="30"/>
      <c r="Q38" s="91"/>
    </row>
    <row r="39" spans="1:17" s="7" customFormat="1">
      <c r="A39" s="8"/>
      <c r="B39" s="9"/>
      <c r="C39" s="207" t="s">
        <v>170</v>
      </c>
      <c r="D39" s="203"/>
      <c r="E39" s="208" t="s">
        <v>171</v>
      </c>
      <c r="F39" s="203"/>
      <c r="G39" s="208" t="s">
        <v>164</v>
      </c>
      <c r="I39" s="26"/>
      <c r="J39" s="22"/>
      <c r="M39" s="30"/>
      <c r="N39" s="30"/>
      <c r="O39" s="30"/>
      <c r="Q39" s="91"/>
    </row>
    <row r="40" spans="1:17" s="17" customFormat="1" ht="39">
      <c r="A40" s="12" t="s">
        <v>28</v>
      </c>
      <c r="B40" s="13" t="s">
        <v>139</v>
      </c>
      <c r="C40" s="46"/>
      <c r="D40" s="7"/>
      <c r="E40" s="109"/>
      <c r="F40" s="7"/>
      <c r="G40" s="99"/>
      <c r="H40" s="7"/>
      <c r="I40" s="27"/>
      <c r="J40" s="23"/>
      <c r="M40" s="31"/>
      <c r="N40" s="31"/>
      <c r="O40" s="31"/>
      <c r="Q40" s="91"/>
    </row>
    <row r="41" spans="1:17" s="7" customFormat="1">
      <c r="A41" s="18"/>
      <c r="B41" s="13"/>
      <c r="C41" s="57"/>
      <c r="D41" s="17"/>
      <c r="E41" s="113"/>
      <c r="F41" s="17"/>
      <c r="G41" s="102"/>
      <c r="H41" s="17"/>
      <c r="I41" s="26"/>
      <c r="J41" s="22"/>
      <c r="M41" s="30"/>
      <c r="N41" s="30"/>
      <c r="O41" s="30"/>
      <c r="Q41" s="92"/>
    </row>
    <row r="42" spans="1:17" s="7" customFormat="1">
      <c r="A42" s="8"/>
      <c r="B42" s="52" t="s">
        <v>22</v>
      </c>
      <c r="C42" s="214">
        <v>473</v>
      </c>
      <c r="D42" s="41"/>
      <c r="E42" s="230"/>
      <c r="F42" s="81"/>
      <c r="G42" s="213"/>
      <c r="H42" s="81"/>
      <c r="I42" s="26"/>
      <c r="J42" s="22"/>
      <c r="M42" s="30"/>
      <c r="N42" s="30"/>
      <c r="O42" s="30"/>
      <c r="Q42" s="82"/>
    </row>
    <row r="43" spans="1:17" s="7" customFormat="1">
      <c r="A43" s="8"/>
      <c r="B43" s="14"/>
      <c r="C43" s="46"/>
      <c r="E43" s="231"/>
      <c r="G43" s="99"/>
      <c r="I43" s="26"/>
      <c r="J43" s="22"/>
      <c r="M43" s="30"/>
      <c r="N43" s="30"/>
      <c r="O43" s="30"/>
      <c r="Q43" s="91"/>
    </row>
    <row r="44" spans="1:17" s="19" customFormat="1" ht="76.5">
      <c r="A44" s="12" t="s">
        <v>30</v>
      </c>
      <c r="B44" s="127" t="s">
        <v>140</v>
      </c>
      <c r="C44" s="46"/>
      <c r="D44" s="7"/>
      <c r="E44" s="231"/>
      <c r="F44" s="7"/>
      <c r="G44" s="99"/>
      <c r="H44" s="7"/>
      <c r="I44" s="28"/>
      <c r="J44" s="24"/>
      <c r="K44" s="52"/>
      <c r="M44" s="32"/>
      <c r="N44" s="32"/>
      <c r="O44" s="32"/>
      <c r="Q44" s="91"/>
    </row>
    <row r="45" spans="1:17" s="7" customFormat="1">
      <c r="A45" s="20"/>
      <c r="B45" s="52"/>
      <c r="C45" s="58"/>
      <c r="D45" s="19"/>
      <c r="E45" s="231"/>
      <c r="F45" s="19"/>
      <c r="G45" s="103"/>
      <c r="H45" s="19"/>
      <c r="I45" s="26"/>
      <c r="J45" s="22"/>
      <c r="M45" s="30"/>
      <c r="N45" s="30"/>
      <c r="O45" s="30"/>
      <c r="Q45" s="93"/>
    </row>
    <row r="46" spans="1:17" s="7" customFormat="1">
      <c r="A46" s="8"/>
      <c r="B46" s="52" t="s">
        <v>55</v>
      </c>
      <c r="C46" s="214">
        <v>1</v>
      </c>
      <c r="D46" s="41"/>
      <c r="E46" s="232"/>
      <c r="F46" s="81"/>
      <c r="G46" s="213"/>
      <c r="H46" s="81"/>
      <c r="I46" s="26"/>
      <c r="J46" s="22"/>
      <c r="M46" s="30"/>
      <c r="N46" s="30"/>
      <c r="O46" s="30"/>
      <c r="Q46" s="82"/>
    </row>
    <row r="47" spans="1:17" s="7" customFormat="1">
      <c r="A47" s="8"/>
      <c r="B47" s="52"/>
      <c r="C47" s="41"/>
      <c r="D47" s="41"/>
      <c r="E47" s="231"/>
      <c r="F47" s="41"/>
      <c r="G47" s="97"/>
      <c r="H47" s="41"/>
      <c r="I47" s="26"/>
      <c r="J47" s="22"/>
      <c r="M47" s="30"/>
      <c r="N47" s="30"/>
      <c r="O47" s="30"/>
      <c r="Q47" s="82"/>
    </row>
    <row r="48" spans="1:17" s="19" customFormat="1" ht="57" customHeight="1">
      <c r="A48" s="12" t="s">
        <v>31</v>
      </c>
      <c r="B48" s="52" t="s">
        <v>66</v>
      </c>
      <c r="C48" s="46"/>
      <c r="D48" s="7"/>
      <c r="E48" s="237"/>
      <c r="F48" s="7"/>
      <c r="G48" s="99"/>
      <c r="H48" s="7"/>
      <c r="I48" s="28"/>
      <c r="J48" s="24"/>
      <c r="M48" s="32"/>
      <c r="N48" s="32"/>
      <c r="O48" s="32"/>
      <c r="Q48" s="91"/>
    </row>
    <row r="49" spans="1:17" s="7" customFormat="1">
      <c r="A49" s="20"/>
      <c r="B49" s="52"/>
      <c r="C49" s="58"/>
      <c r="D49" s="19"/>
      <c r="E49" s="250"/>
      <c r="F49" s="19"/>
      <c r="G49" s="103"/>
      <c r="H49" s="19"/>
      <c r="I49" s="26"/>
      <c r="J49" s="22"/>
      <c r="M49" s="30"/>
      <c r="N49" s="30"/>
      <c r="O49" s="30"/>
      <c r="Q49" s="93"/>
    </row>
    <row r="50" spans="1:17" s="7" customFormat="1">
      <c r="A50" s="8"/>
      <c r="B50" s="52" t="s">
        <v>23</v>
      </c>
      <c r="C50" s="214">
        <v>9</v>
      </c>
      <c r="D50" s="41"/>
      <c r="E50" s="232"/>
      <c r="F50" s="81"/>
      <c r="G50" s="213"/>
      <c r="H50" s="81"/>
      <c r="I50" s="26"/>
      <c r="J50" s="22"/>
      <c r="M50" s="30"/>
      <c r="N50" s="30"/>
      <c r="O50" s="30"/>
      <c r="Q50" s="82"/>
    </row>
    <row r="51" spans="1:17" s="7" customFormat="1">
      <c r="A51" s="8"/>
      <c r="B51" s="52"/>
      <c r="C51" s="41"/>
      <c r="D51" s="41"/>
      <c r="E51" s="231"/>
      <c r="F51" s="41"/>
      <c r="G51" s="97"/>
      <c r="H51" s="41"/>
      <c r="I51" s="26"/>
      <c r="J51" s="22"/>
      <c r="M51" s="30"/>
      <c r="N51" s="30"/>
      <c r="O51" s="30"/>
      <c r="Q51" s="82"/>
    </row>
    <row r="52" spans="1:17" s="19" customFormat="1" ht="57.75" customHeight="1">
      <c r="A52" s="12" t="s">
        <v>56</v>
      </c>
      <c r="B52" s="52" t="s">
        <v>68</v>
      </c>
      <c r="C52" s="41"/>
      <c r="D52" s="41"/>
      <c r="E52" s="231"/>
      <c r="F52" s="41"/>
      <c r="G52" s="97"/>
      <c r="H52" s="7"/>
      <c r="I52" s="28"/>
      <c r="J52" s="24"/>
      <c r="M52" s="32"/>
      <c r="N52" s="32"/>
      <c r="O52" s="32"/>
      <c r="Q52" s="82"/>
    </row>
    <row r="53" spans="1:17" s="7" customFormat="1">
      <c r="A53" s="20"/>
      <c r="B53" s="52"/>
      <c r="C53" s="59"/>
      <c r="D53" s="59"/>
      <c r="E53" s="231"/>
      <c r="F53" s="59"/>
      <c r="G53" s="104"/>
      <c r="H53" s="19"/>
      <c r="I53" s="26"/>
      <c r="J53" s="22"/>
      <c r="M53" s="30"/>
      <c r="N53" s="30"/>
      <c r="O53" s="30"/>
      <c r="Q53" s="87"/>
    </row>
    <row r="54" spans="1:17" s="7" customFormat="1">
      <c r="A54" s="8"/>
      <c r="B54" s="52" t="s">
        <v>23</v>
      </c>
      <c r="C54" s="214">
        <f>INT(C42/20)+1</f>
        <v>24</v>
      </c>
      <c r="D54" s="41"/>
      <c r="E54" s="232"/>
      <c r="F54" s="81"/>
      <c r="G54" s="213"/>
      <c r="H54" s="81"/>
      <c r="I54" s="26"/>
      <c r="J54" s="22"/>
      <c r="M54" s="30"/>
      <c r="N54" s="30"/>
      <c r="O54" s="30"/>
      <c r="Q54" s="82"/>
    </row>
    <row r="55" spans="1:17" s="7" customFormat="1">
      <c r="A55" s="8"/>
      <c r="B55" s="52"/>
      <c r="C55" s="41"/>
      <c r="D55" s="41"/>
      <c r="E55" s="231"/>
      <c r="F55" s="41"/>
      <c r="G55" s="97"/>
      <c r="H55" s="41"/>
      <c r="I55" s="26"/>
      <c r="J55" s="22"/>
      <c r="M55" s="30"/>
      <c r="N55" s="30"/>
      <c r="O55" s="30"/>
      <c r="Q55" s="82"/>
    </row>
    <row r="56" spans="1:17" s="7" customFormat="1" ht="38.25">
      <c r="A56" s="12" t="s">
        <v>5</v>
      </c>
      <c r="B56" s="52" t="s">
        <v>6</v>
      </c>
      <c r="C56" s="41"/>
      <c r="D56" s="41"/>
      <c r="E56" s="231"/>
      <c r="F56" s="41"/>
      <c r="G56" s="97"/>
      <c r="I56" s="26"/>
      <c r="J56" s="22"/>
      <c r="M56" s="30"/>
      <c r="N56" s="30"/>
      <c r="O56" s="30"/>
      <c r="Q56" s="82"/>
    </row>
    <row r="57" spans="1:17" s="7" customFormat="1">
      <c r="A57" s="20"/>
      <c r="B57" s="52"/>
      <c r="C57" s="59"/>
      <c r="D57" s="59"/>
      <c r="E57" s="233"/>
      <c r="F57" s="59"/>
      <c r="G57" s="104"/>
      <c r="H57" s="19"/>
      <c r="I57" s="26"/>
      <c r="J57" s="22"/>
      <c r="M57" s="30"/>
      <c r="N57" s="30"/>
      <c r="O57" s="30"/>
      <c r="Q57" s="87"/>
    </row>
    <row r="58" spans="1:17" s="7" customFormat="1">
      <c r="A58" s="8"/>
      <c r="B58" s="52" t="s">
        <v>29</v>
      </c>
      <c r="C58" s="214">
        <v>1</v>
      </c>
      <c r="D58" s="41"/>
      <c r="E58" s="232"/>
      <c r="F58" s="81"/>
      <c r="G58" s="213"/>
      <c r="H58" s="81"/>
      <c r="I58" s="26"/>
      <c r="J58" s="22"/>
      <c r="M58" s="30"/>
      <c r="N58" s="30"/>
      <c r="O58" s="30"/>
      <c r="Q58" s="82"/>
    </row>
    <row r="59" spans="1:17" s="7" customFormat="1">
      <c r="A59" s="8"/>
      <c r="B59" s="52"/>
      <c r="C59" s="41"/>
      <c r="D59" s="41"/>
      <c r="E59" s="231"/>
      <c r="F59" s="41"/>
      <c r="G59" s="97"/>
      <c r="H59" s="41"/>
      <c r="I59" s="26"/>
      <c r="J59" s="22"/>
      <c r="M59" s="30"/>
      <c r="N59" s="30"/>
      <c r="O59" s="30"/>
      <c r="Q59" s="82"/>
    </row>
    <row r="60" spans="1:17" s="19" customFormat="1" ht="48" customHeight="1">
      <c r="A60" s="12" t="s">
        <v>75</v>
      </c>
      <c r="B60" s="52" t="s">
        <v>136</v>
      </c>
      <c r="C60" s="41"/>
      <c r="D60" s="41"/>
      <c r="E60" s="231"/>
      <c r="F60" s="41"/>
      <c r="G60" s="97"/>
      <c r="H60" s="7"/>
      <c r="I60" s="28"/>
      <c r="J60" s="24"/>
      <c r="M60" s="32"/>
      <c r="N60" s="32"/>
      <c r="O60" s="32"/>
      <c r="Q60" s="82"/>
    </row>
    <row r="61" spans="1:17" s="7" customFormat="1">
      <c r="A61" s="20"/>
      <c r="B61" s="52"/>
      <c r="C61" s="59"/>
      <c r="D61" s="59"/>
      <c r="E61" s="233"/>
      <c r="F61" s="59"/>
      <c r="G61" s="104"/>
      <c r="H61" s="19"/>
      <c r="I61" s="26"/>
      <c r="J61" s="22"/>
      <c r="M61" s="30"/>
      <c r="N61" s="30"/>
      <c r="O61" s="30"/>
      <c r="Q61" s="87"/>
    </row>
    <row r="62" spans="1:17" s="7" customFormat="1">
      <c r="A62" s="8"/>
      <c r="B62" s="52" t="s">
        <v>23</v>
      </c>
      <c r="C62" s="214">
        <v>1</v>
      </c>
      <c r="D62" s="41"/>
      <c r="E62" s="232"/>
      <c r="F62" s="81"/>
      <c r="G62" s="213"/>
      <c r="H62" s="81"/>
      <c r="I62" s="26"/>
      <c r="J62" s="22"/>
      <c r="M62" s="30"/>
      <c r="N62" s="30"/>
      <c r="O62" s="30"/>
      <c r="Q62" s="82"/>
    </row>
    <row r="63" spans="1:17" s="7" customFormat="1">
      <c r="A63" s="8"/>
      <c r="B63" s="52"/>
      <c r="C63" s="41"/>
      <c r="D63" s="41"/>
      <c r="E63" s="231"/>
      <c r="F63" s="81"/>
      <c r="G63" s="97"/>
      <c r="H63" s="81"/>
      <c r="I63" s="26"/>
      <c r="J63" s="22"/>
      <c r="M63" s="30"/>
      <c r="N63" s="30"/>
      <c r="O63" s="30"/>
      <c r="Q63" s="82"/>
    </row>
    <row r="64" spans="1:17" s="19" customFormat="1" ht="34.5" customHeight="1">
      <c r="A64" s="12" t="s">
        <v>137</v>
      </c>
      <c r="B64" s="52" t="s">
        <v>138</v>
      </c>
      <c r="C64" s="41"/>
      <c r="D64" s="41"/>
      <c r="E64" s="231"/>
      <c r="F64" s="41"/>
      <c r="G64" s="97"/>
      <c r="H64" s="7"/>
      <c r="I64" s="28"/>
      <c r="J64" s="24"/>
      <c r="M64" s="32"/>
      <c r="N64" s="32"/>
      <c r="O64" s="32"/>
      <c r="Q64" s="82"/>
    </row>
    <row r="65" spans="1:17" s="7" customFormat="1">
      <c r="A65" s="20"/>
      <c r="B65" s="52"/>
      <c r="C65" s="59"/>
      <c r="D65" s="59"/>
      <c r="E65" s="233"/>
      <c r="F65" s="59"/>
      <c r="G65" s="104"/>
      <c r="H65" s="19"/>
      <c r="I65" s="26"/>
      <c r="J65" s="22"/>
      <c r="M65" s="30"/>
      <c r="N65" s="30"/>
      <c r="O65" s="30"/>
      <c r="Q65" s="87"/>
    </row>
    <row r="66" spans="1:17" s="7" customFormat="1">
      <c r="A66" s="8"/>
      <c r="B66" s="52" t="s">
        <v>71</v>
      </c>
      <c r="C66" s="214">
        <v>473</v>
      </c>
      <c r="D66" s="41"/>
      <c r="E66" s="232"/>
      <c r="F66" s="81"/>
      <c r="G66" s="213"/>
      <c r="H66" s="81"/>
      <c r="I66" s="26"/>
      <c r="J66" s="22"/>
      <c r="M66" s="30"/>
      <c r="N66" s="30"/>
      <c r="O66" s="30"/>
      <c r="Q66" s="82"/>
    </row>
    <row r="67" spans="1:17" s="7" customFormat="1">
      <c r="A67" s="8"/>
      <c r="B67" s="52"/>
      <c r="C67" s="207" t="s">
        <v>170</v>
      </c>
      <c r="D67" s="203"/>
      <c r="E67" s="235" t="s">
        <v>171</v>
      </c>
      <c r="F67" s="203"/>
      <c r="G67" s="208" t="s">
        <v>164</v>
      </c>
      <c r="H67" s="41"/>
      <c r="I67" s="26"/>
      <c r="J67" s="22"/>
      <c r="M67" s="30"/>
      <c r="N67" s="30"/>
      <c r="O67" s="30"/>
      <c r="Q67" s="82"/>
    </row>
    <row r="68" spans="1:17" s="7" customFormat="1" ht="86.25" customHeight="1">
      <c r="A68" s="12" t="s">
        <v>54</v>
      </c>
      <c r="B68" s="52" t="s">
        <v>217</v>
      </c>
      <c r="C68" s="41"/>
      <c r="D68" s="41"/>
      <c r="E68" s="231"/>
      <c r="F68" s="41"/>
      <c r="G68" s="97"/>
      <c r="I68" s="26"/>
      <c r="J68" s="22"/>
      <c r="M68" s="30"/>
      <c r="N68" s="30"/>
      <c r="O68" s="30"/>
      <c r="Q68" s="82"/>
    </row>
    <row r="69" spans="1:17" s="7" customFormat="1" ht="44.25" customHeight="1">
      <c r="A69" s="8"/>
      <c r="B69" s="52" t="s">
        <v>116</v>
      </c>
      <c r="C69" s="214">
        <v>1</v>
      </c>
      <c r="D69" s="41"/>
      <c r="E69" s="232"/>
      <c r="F69" s="81"/>
      <c r="G69" s="213"/>
      <c r="H69" s="81"/>
      <c r="I69" s="26"/>
      <c r="J69" s="22"/>
      <c r="M69" s="30"/>
      <c r="N69" s="30"/>
      <c r="O69" s="30"/>
      <c r="Q69" s="82"/>
    </row>
    <row r="70" spans="1:17" s="7" customFormat="1" ht="15.95" customHeight="1">
      <c r="A70" s="8"/>
      <c r="B70" s="52"/>
      <c r="C70" s="41"/>
      <c r="D70" s="41"/>
      <c r="E70" s="231"/>
      <c r="F70" s="41"/>
      <c r="G70" s="97"/>
      <c r="I70" s="26"/>
      <c r="J70" s="22"/>
      <c r="M70" s="30"/>
      <c r="N70" s="30"/>
      <c r="O70" s="30"/>
      <c r="Q70" s="82"/>
    </row>
    <row r="71" spans="1:17" s="7" customFormat="1" ht="15.95" customHeight="1">
      <c r="A71" s="12" t="s">
        <v>61</v>
      </c>
      <c r="B71" s="52" t="s">
        <v>62</v>
      </c>
      <c r="C71" s="41"/>
      <c r="D71" s="41"/>
      <c r="E71" s="231"/>
      <c r="F71" s="41"/>
      <c r="G71" s="97"/>
      <c r="I71" s="26"/>
      <c r="J71" s="22"/>
      <c r="M71" s="30"/>
      <c r="N71" s="30"/>
      <c r="O71" s="30"/>
      <c r="Q71" s="82"/>
    </row>
    <row r="72" spans="1:17" s="7" customFormat="1" ht="15.95" customHeight="1">
      <c r="A72" s="20"/>
      <c r="B72" s="52"/>
      <c r="C72" s="59"/>
      <c r="D72" s="59"/>
      <c r="E72" s="233"/>
      <c r="F72" s="59"/>
      <c r="G72" s="104"/>
      <c r="H72" s="19"/>
      <c r="I72" s="26"/>
      <c r="J72" s="22"/>
      <c r="M72" s="30"/>
      <c r="N72" s="30"/>
      <c r="O72" s="30"/>
      <c r="Q72" s="87"/>
    </row>
    <row r="73" spans="1:17" s="7" customFormat="1" ht="15.95" customHeight="1">
      <c r="A73" s="8"/>
      <c r="B73" s="52" t="s">
        <v>41</v>
      </c>
      <c r="C73" s="214">
        <v>14.5</v>
      </c>
      <c r="D73" s="41"/>
      <c r="E73" s="232"/>
      <c r="F73" s="81"/>
      <c r="G73" s="213"/>
      <c r="H73" s="81"/>
      <c r="I73" s="26"/>
      <c r="J73" s="22"/>
      <c r="M73" s="30"/>
      <c r="N73" s="30"/>
      <c r="O73" s="30"/>
      <c r="Q73" s="82"/>
    </row>
    <row r="74" spans="1:17" s="7" customFormat="1" ht="15.95" customHeight="1">
      <c r="A74" s="8"/>
      <c r="B74" s="52"/>
      <c r="C74" s="41"/>
      <c r="D74" s="41"/>
      <c r="E74" s="231"/>
      <c r="F74" s="41"/>
      <c r="G74" s="97"/>
      <c r="H74" s="41"/>
      <c r="I74" s="26"/>
      <c r="J74" s="22"/>
      <c r="M74" s="30"/>
      <c r="N74" s="30"/>
      <c r="O74" s="30"/>
      <c r="Q74" s="82"/>
    </row>
    <row r="75" spans="1:17" s="7" customFormat="1" ht="89.25" customHeight="1">
      <c r="A75" s="12" t="s">
        <v>73</v>
      </c>
      <c r="B75" s="52" t="s">
        <v>135</v>
      </c>
      <c r="C75" s="41"/>
      <c r="D75" s="41"/>
      <c r="E75" s="231"/>
      <c r="F75" s="41"/>
      <c r="G75" s="97"/>
      <c r="I75" s="26"/>
      <c r="J75" s="22"/>
      <c r="M75" s="30"/>
      <c r="N75" s="30"/>
      <c r="O75" s="30"/>
      <c r="Q75" s="82"/>
    </row>
    <row r="76" spans="1:17" s="7" customFormat="1" ht="15.95" customHeight="1">
      <c r="A76" s="20"/>
      <c r="B76" s="52"/>
      <c r="C76" s="59"/>
      <c r="D76" s="59"/>
      <c r="E76" s="233"/>
      <c r="F76" s="59"/>
      <c r="G76" s="104"/>
      <c r="H76" s="19"/>
      <c r="I76" s="26"/>
      <c r="J76" s="22"/>
      <c r="M76" s="30"/>
      <c r="N76" s="30"/>
      <c r="O76" s="30"/>
      <c r="Q76" s="87"/>
    </row>
    <row r="77" spans="1:17" s="7" customFormat="1" ht="15.95" customHeight="1">
      <c r="A77" s="8"/>
      <c r="B77" s="52" t="s">
        <v>23</v>
      </c>
      <c r="C77" s="214">
        <v>1</v>
      </c>
      <c r="D77" s="41"/>
      <c r="E77" s="232"/>
      <c r="F77" s="81"/>
      <c r="G77" s="213"/>
      <c r="H77" s="81"/>
      <c r="I77" s="26"/>
      <c r="J77" s="22"/>
      <c r="M77" s="30"/>
      <c r="N77" s="30"/>
      <c r="O77" s="30"/>
      <c r="Q77" s="82"/>
    </row>
    <row r="78" spans="1:17" s="7" customFormat="1" ht="15.95" customHeight="1">
      <c r="A78" s="8"/>
      <c r="B78" s="52"/>
      <c r="C78" s="41"/>
      <c r="D78" s="41"/>
      <c r="E78" s="231"/>
      <c r="F78" s="41"/>
      <c r="G78" s="97"/>
      <c r="H78" s="41"/>
      <c r="I78" s="26"/>
      <c r="J78" s="22"/>
      <c r="M78" s="30"/>
      <c r="N78" s="30"/>
      <c r="O78" s="30"/>
      <c r="Q78" s="82"/>
    </row>
    <row r="79" spans="1:17" s="7" customFormat="1" ht="33.950000000000003" customHeight="1">
      <c r="A79" s="12" t="s">
        <v>74</v>
      </c>
      <c r="B79" s="52" t="s">
        <v>10</v>
      </c>
      <c r="C79" s="41"/>
      <c r="D79" s="41"/>
      <c r="E79" s="231"/>
      <c r="F79" s="41"/>
      <c r="G79" s="97"/>
      <c r="I79" s="26"/>
      <c r="J79" s="22"/>
      <c r="M79" s="30"/>
      <c r="N79" s="30"/>
      <c r="O79" s="30"/>
      <c r="Q79" s="82"/>
    </row>
    <row r="80" spans="1:17" s="7" customFormat="1" ht="15.95" customHeight="1">
      <c r="A80" s="20"/>
      <c r="B80" s="52"/>
      <c r="C80" s="59"/>
      <c r="D80" s="59"/>
      <c r="E80" s="233"/>
      <c r="F80" s="59"/>
      <c r="G80" s="104"/>
      <c r="H80" s="19"/>
      <c r="I80" s="26"/>
      <c r="J80" s="22"/>
      <c r="M80" s="30"/>
      <c r="N80" s="30"/>
      <c r="O80" s="30"/>
      <c r="Q80" s="87"/>
    </row>
    <row r="81" spans="1:17" s="7" customFormat="1" ht="15.95" customHeight="1">
      <c r="A81" s="8"/>
      <c r="B81" s="52" t="s">
        <v>23</v>
      </c>
      <c r="C81" s="214">
        <v>1</v>
      </c>
      <c r="D81" s="41"/>
      <c r="E81" s="232"/>
      <c r="F81" s="81"/>
      <c r="G81" s="213"/>
      <c r="H81" s="81"/>
      <c r="I81" s="26"/>
      <c r="J81" s="22"/>
      <c r="M81" s="30"/>
      <c r="N81" s="30"/>
      <c r="O81" s="30"/>
      <c r="Q81" s="82"/>
    </row>
    <row r="82" spans="1:17" s="7" customFormat="1" ht="15.95" customHeight="1">
      <c r="A82" s="8"/>
      <c r="B82" s="52"/>
      <c r="C82" s="41"/>
      <c r="D82" s="41"/>
      <c r="E82" s="231"/>
      <c r="F82" s="41"/>
      <c r="G82" s="97"/>
      <c r="I82" s="26"/>
      <c r="J82" s="22"/>
      <c r="M82" s="30"/>
      <c r="N82" s="30"/>
      <c r="O82" s="30"/>
      <c r="Q82" s="82"/>
    </row>
    <row r="83" spans="1:17" s="7" customFormat="1" ht="31.5">
      <c r="A83" s="11"/>
      <c r="B83" s="60" t="s">
        <v>43</v>
      </c>
      <c r="C83" s="49"/>
      <c r="D83" s="49"/>
      <c r="E83" s="236"/>
      <c r="F83" s="49"/>
      <c r="G83" s="209"/>
      <c r="H83" s="49"/>
      <c r="I83" s="118"/>
      <c r="J83" s="22"/>
      <c r="M83" s="30"/>
      <c r="N83" s="30"/>
      <c r="O83" s="30"/>
      <c r="Q83" s="84"/>
    </row>
    <row r="84" spans="1:17" s="7" customFormat="1">
      <c r="A84" s="11"/>
      <c r="B84" s="60"/>
      <c r="C84" s="49"/>
      <c r="D84" s="49"/>
      <c r="E84" s="236"/>
      <c r="F84" s="49"/>
      <c r="G84" s="100"/>
      <c r="H84" s="49"/>
      <c r="I84" s="26"/>
      <c r="J84" s="22"/>
      <c r="M84" s="30"/>
      <c r="N84" s="30"/>
      <c r="O84" s="30"/>
      <c r="Q84" s="84"/>
    </row>
    <row r="85" spans="1:17" s="7" customFormat="1">
      <c r="A85" s="11" t="s">
        <v>32</v>
      </c>
      <c r="B85" s="9" t="s">
        <v>17</v>
      </c>
      <c r="C85" s="46"/>
      <c r="E85" s="237"/>
      <c r="G85" s="99"/>
      <c r="I85" s="26"/>
      <c r="J85" s="22"/>
      <c r="M85" s="30"/>
      <c r="N85" s="30"/>
      <c r="O85" s="30"/>
      <c r="Q85" s="91"/>
    </row>
    <row r="86" spans="1:17" s="7" customFormat="1">
      <c r="A86" s="11"/>
      <c r="B86" s="9"/>
      <c r="C86" s="46"/>
      <c r="E86" s="237"/>
      <c r="G86" s="99"/>
      <c r="I86" s="26"/>
      <c r="J86" s="22"/>
      <c r="M86" s="30"/>
      <c r="N86" s="30"/>
      <c r="O86" s="30"/>
      <c r="Q86" s="91"/>
    </row>
    <row r="87" spans="1:17" s="64" customFormat="1" ht="64.5" customHeight="1">
      <c r="A87" s="12" t="s">
        <v>33</v>
      </c>
      <c r="B87" s="52" t="s">
        <v>134</v>
      </c>
      <c r="C87" s="41"/>
      <c r="D87" s="41"/>
      <c r="E87" s="231"/>
      <c r="F87" s="41"/>
      <c r="G87" s="97"/>
      <c r="H87" s="61"/>
      <c r="I87" s="62"/>
      <c r="J87" s="63"/>
      <c r="M87" s="65"/>
      <c r="N87" s="65"/>
      <c r="O87" s="65"/>
      <c r="Q87" s="82"/>
    </row>
    <row r="88" spans="1:17">
      <c r="A88" s="18"/>
      <c r="B88" s="52"/>
      <c r="C88" s="59"/>
      <c r="D88" s="59"/>
      <c r="E88" s="233"/>
      <c r="F88" s="59"/>
      <c r="G88" s="104"/>
      <c r="H88" s="64"/>
      <c r="Q88" s="87"/>
    </row>
    <row r="89" spans="1:17">
      <c r="B89" s="52" t="s">
        <v>20</v>
      </c>
      <c r="C89" s="214">
        <v>44.5</v>
      </c>
      <c r="E89" s="230"/>
      <c r="F89" s="81"/>
      <c r="G89" s="213"/>
      <c r="H89" s="81"/>
    </row>
    <row r="90" spans="1:17">
      <c r="B90" s="52"/>
      <c r="E90" s="231"/>
      <c r="H90" s="61"/>
    </row>
    <row r="91" spans="1:17" ht="69" customHeight="1">
      <c r="A91" s="43" t="s">
        <v>34</v>
      </c>
      <c r="B91" s="52" t="s">
        <v>133</v>
      </c>
      <c r="E91" s="231"/>
      <c r="H91" s="61"/>
      <c r="J91" s="52"/>
    </row>
    <row r="92" spans="1:17">
      <c r="B92" s="52"/>
      <c r="E92" s="231"/>
      <c r="H92" s="61"/>
    </row>
    <row r="93" spans="1:17">
      <c r="B93" s="52" t="s">
        <v>25</v>
      </c>
      <c r="C93" s="214">
        <f>57.87/0.09</f>
        <v>643</v>
      </c>
      <c r="E93" s="232"/>
      <c r="F93" s="81"/>
      <c r="G93" s="213"/>
      <c r="H93" s="81"/>
    </row>
    <row r="94" spans="1:17">
      <c r="B94" s="52"/>
      <c r="C94" s="207" t="s">
        <v>170</v>
      </c>
      <c r="D94" s="203"/>
      <c r="E94" s="235" t="s">
        <v>171</v>
      </c>
      <c r="F94" s="203"/>
      <c r="G94" s="208" t="s">
        <v>164</v>
      </c>
      <c r="H94" s="61"/>
    </row>
    <row r="95" spans="1:17" ht="83.25" customHeight="1">
      <c r="A95" s="43" t="s">
        <v>35</v>
      </c>
      <c r="B95" s="52" t="s">
        <v>87</v>
      </c>
      <c r="E95" s="231"/>
      <c r="H95" s="61"/>
    </row>
    <row r="96" spans="1:17">
      <c r="B96" s="52"/>
      <c r="E96" s="231"/>
      <c r="H96" s="61"/>
    </row>
    <row r="97" spans="1:10">
      <c r="B97" s="52" t="s">
        <v>20</v>
      </c>
      <c r="C97" s="214">
        <f>C50*0.8</f>
        <v>7.2</v>
      </c>
      <c r="E97" s="232"/>
      <c r="F97" s="81"/>
      <c r="G97" s="213"/>
      <c r="H97" s="81"/>
      <c r="J97" s="36"/>
    </row>
    <row r="98" spans="1:10">
      <c r="B98" s="52"/>
      <c r="E98" s="231"/>
      <c r="H98" s="41"/>
      <c r="J98" s="36"/>
    </row>
    <row r="99" spans="1:10" ht="69" customHeight="1">
      <c r="A99" s="43" t="s">
        <v>36</v>
      </c>
      <c r="B99" s="52" t="s">
        <v>88</v>
      </c>
      <c r="E99" s="231"/>
      <c r="H99" s="61"/>
    </row>
    <row r="100" spans="1:10">
      <c r="B100" s="52"/>
      <c r="E100" s="231"/>
      <c r="H100" s="61"/>
    </row>
    <row r="101" spans="1:10" ht="25.5">
      <c r="B101" s="52" t="s">
        <v>141</v>
      </c>
      <c r="E101" s="231"/>
      <c r="H101" s="61"/>
    </row>
    <row r="102" spans="1:10">
      <c r="B102" s="52" t="s">
        <v>20</v>
      </c>
      <c r="C102" s="214">
        <f>1197.01*0.8</f>
        <v>957.60800000000006</v>
      </c>
      <c r="E102" s="230"/>
      <c r="F102" s="81"/>
      <c r="G102" s="213"/>
      <c r="H102" s="81"/>
    </row>
    <row r="103" spans="1:10">
      <c r="B103" s="52"/>
      <c r="E103" s="231"/>
      <c r="H103" s="41"/>
      <c r="J103" s="36"/>
    </row>
    <row r="104" spans="1:10">
      <c r="B104" s="52" t="s">
        <v>142</v>
      </c>
      <c r="E104" s="231"/>
      <c r="H104" s="61"/>
    </row>
    <row r="105" spans="1:10">
      <c r="B105" s="52" t="s">
        <v>20</v>
      </c>
      <c r="C105" s="214">
        <f>1197.01*0.2</f>
        <v>239.40200000000002</v>
      </c>
      <c r="E105" s="232"/>
      <c r="F105" s="81"/>
      <c r="G105" s="213"/>
      <c r="H105" s="81"/>
    </row>
    <row r="106" spans="1:10">
      <c r="B106" s="52"/>
      <c r="E106" s="231"/>
      <c r="H106" s="61"/>
    </row>
    <row r="107" spans="1:10" ht="67.5" customHeight="1">
      <c r="A107" s="43" t="s">
        <v>37</v>
      </c>
      <c r="B107" s="52" t="s">
        <v>89</v>
      </c>
      <c r="E107" s="231"/>
      <c r="H107" s="61"/>
    </row>
    <row r="108" spans="1:10">
      <c r="B108" s="52"/>
      <c r="E108" s="231"/>
      <c r="H108" s="61"/>
    </row>
    <row r="109" spans="1:10" ht="25.5">
      <c r="B109" s="52" t="s">
        <v>141</v>
      </c>
      <c r="E109" s="231"/>
      <c r="H109" s="61"/>
    </row>
    <row r="110" spans="1:10">
      <c r="B110" s="52" t="s">
        <v>20</v>
      </c>
      <c r="C110" s="214">
        <f>24.36*0.8</f>
        <v>19.488</v>
      </c>
      <c r="E110" s="238"/>
      <c r="F110" s="81"/>
      <c r="G110" s="213"/>
      <c r="H110" s="81"/>
    </row>
    <row r="111" spans="1:10">
      <c r="B111" s="52"/>
      <c r="E111" s="231"/>
      <c r="H111" s="41"/>
      <c r="J111" s="36"/>
    </row>
    <row r="112" spans="1:10">
      <c r="B112" s="52" t="s">
        <v>142</v>
      </c>
      <c r="E112" s="231"/>
      <c r="H112" s="61"/>
    </row>
    <row r="113" spans="1:17">
      <c r="B113" s="52" t="s">
        <v>20</v>
      </c>
      <c r="C113" s="214">
        <f>24.36*0.2</f>
        <v>4.8719999999999999</v>
      </c>
      <c r="E113" s="230"/>
      <c r="F113" s="81"/>
      <c r="G113" s="213"/>
      <c r="H113" s="81"/>
    </row>
    <row r="114" spans="1:17" s="68" customFormat="1">
      <c r="A114" s="69"/>
      <c r="B114" s="70"/>
      <c r="C114" s="66"/>
      <c r="D114" s="66"/>
      <c r="E114" s="231"/>
      <c r="F114" s="66"/>
      <c r="G114" s="97"/>
      <c r="H114" s="67"/>
      <c r="Q114" s="88"/>
    </row>
    <row r="115" spans="1:17" s="64" customFormat="1" ht="42" customHeight="1">
      <c r="A115" s="43" t="s">
        <v>45</v>
      </c>
      <c r="B115" s="52" t="s">
        <v>38</v>
      </c>
      <c r="C115" s="41"/>
      <c r="D115" s="41"/>
      <c r="E115" s="231"/>
      <c r="F115" s="41"/>
      <c r="G115" s="97"/>
      <c r="H115" s="61"/>
      <c r="I115" s="62"/>
      <c r="J115" s="63"/>
      <c r="M115" s="65"/>
      <c r="N115" s="65"/>
      <c r="O115" s="65"/>
      <c r="Q115" s="82"/>
    </row>
    <row r="116" spans="1:17">
      <c r="B116" s="52"/>
      <c r="C116" s="59"/>
      <c r="D116" s="59"/>
      <c r="E116" s="231"/>
      <c r="F116" s="59"/>
      <c r="G116" s="104"/>
      <c r="H116" s="64"/>
      <c r="Q116" s="87"/>
    </row>
    <row r="117" spans="1:17">
      <c r="B117" s="52" t="s">
        <v>25</v>
      </c>
      <c r="C117" s="214">
        <f>C42*0.75</f>
        <v>354.75</v>
      </c>
      <c r="E117" s="232"/>
      <c r="G117" s="213"/>
      <c r="H117" s="41"/>
    </row>
    <row r="118" spans="1:17">
      <c r="B118" s="52"/>
      <c r="C118" s="207" t="s">
        <v>170</v>
      </c>
      <c r="D118" s="203"/>
      <c r="E118" s="235" t="s">
        <v>171</v>
      </c>
      <c r="F118" s="203"/>
      <c r="G118" s="208" t="s">
        <v>164</v>
      </c>
      <c r="H118" s="61"/>
    </row>
    <row r="119" spans="1:17" s="64" customFormat="1" ht="147.75" customHeight="1">
      <c r="A119" s="43" t="s">
        <v>46</v>
      </c>
      <c r="B119" s="52" t="s">
        <v>90</v>
      </c>
      <c r="C119" s="41"/>
      <c r="D119" s="41"/>
      <c r="E119" s="231"/>
      <c r="F119" s="41"/>
      <c r="G119" s="97"/>
      <c r="H119" s="61"/>
      <c r="I119" s="62"/>
      <c r="J119" s="63"/>
      <c r="M119" s="65"/>
      <c r="N119" s="65"/>
      <c r="O119" s="65"/>
      <c r="Q119" s="82"/>
    </row>
    <row r="120" spans="1:17">
      <c r="A120" s="71"/>
      <c r="B120" s="52"/>
      <c r="C120" s="59"/>
      <c r="D120" s="59"/>
      <c r="E120" s="231"/>
      <c r="F120" s="59"/>
      <c r="G120" s="104"/>
      <c r="H120" s="64"/>
      <c r="Q120" s="87"/>
    </row>
    <row r="121" spans="1:17">
      <c r="B121" s="52" t="s">
        <v>20</v>
      </c>
      <c r="C121" s="214">
        <v>68.2</v>
      </c>
      <c r="E121" s="232"/>
      <c r="G121" s="213"/>
      <c r="H121" s="41"/>
    </row>
    <row r="122" spans="1:17">
      <c r="B122" s="52"/>
      <c r="C122" s="227"/>
      <c r="D122" s="229"/>
      <c r="E122" s="234"/>
      <c r="F122" s="229"/>
      <c r="G122" s="228"/>
      <c r="H122" s="61"/>
    </row>
    <row r="123" spans="1:17" s="64" customFormat="1" ht="114.75">
      <c r="A123" s="43" t="s">
        <v>47</v>
      </c>
      <c r="B123" s="52" t="s">
        <v>132</v>
      </c>
      <c r="C123" s="41"/>
      <c r="D123" s="41"/>
      <c r="E123" s="231"/>
      <c r="F123" s="41"/>
      <c r="G123" s="97"/>
      <c r="H123" s="61"/>
      <c r="I123" s="62"/>
      <c r="J123" s="63"/>
      <c r="M123" s="65"/>
      <c r="N123" s="65"/>
      <c r="O123" s="65"/>
      <c r="Q123" s="82"/>
    </row>
    <row r="124" spans="1:17">
      <c r="A124" s="71"/>
      <c r="B124" s="52"/>
      <c r="C124" s="59"/>
      <c r="D124" s="59"/>
      <c r="E124" s="231"/>
      <c r="F124" s="59"/>
      <c r="G124" s="104"/>
      <c r="H124" s="64"/>
      <c r="Q124" s="87"/>
    </row>
    <row r="125" spans="1:17">
      <c r="B125" s="52" t="s">
        <v>20</v>
      </c>
      <c r="C125" s="214">
        <v>233.8</v>
      </c>
      <c r="E125" s="232"/>
      <c r="G125" s="213"/>
      <c r="H125" s="41"/>
    </row>
    <row r="126" spans="1:17">
      <c r="B126" s="52"/>
      <c r="E126" s="231"/>
      <c r="H126" s="61"/>
    </row>
    <row r="127" spans="1:17" ht="96" customHeight="1">
      <c r="A127" s="43" t="s">
        <v>48</v>
      </c>
      <c r="B127" s="52" t="s">
        <v>91</v>
      </c>
      <c r="E127" s="231"/>
      <c r="H127" s="61"/>
    </row>
    <row r="128" spans="1:17">
      <c r="A128" s="71"/>
      <c r="B128" s="52"/>
      <c r="E128" s="231"/>
      <c r="H128" s="61"/>
    </row>
    <row r="129" spans="1:17">
      <c r="B129" s="52" t="s">
        <v>20</v>
      </c>
      <c r="C129" s="214">
        <f>761.65*0.68</f>
        <v>517.92200000000003</v>
      </c>
      <c r="E129" s="232"/>
      <c r="G129" s="213"/>
      <c r="H129" s="41"/>
    </row>
    <row r="130" spans="1:17">
      <c r="B130" s="52"/>
      <c r="E130" s="231"/>
      <c r="H130" s="61"/>
    </row>
    <row r="131" spans="1:17" s="64" customFormat="1" ht="38.25">
      <c r="A131" s="43" t="s">
        <v>49</v>
      </c>
      <c r="B131" s="52" t="s">
        <v>92</v>
      </c>
      <c r="C131" s="41"/>
      <c r="D131" s="41"/>
      <c r="E131" s="231"/>
      <c r="F131" s="41"/>
      <c r="G131" s="97"/>
      <c r="H131" s="61"/>
      <c r="Q131" s="82"/>
    </row>
    <row r="132" spans="1:17">
      <c r="A132" s="71"/>
      <c r="B132" s="52"/>
      <c r="C132" s="59"/>
      <c r="D132" s="59"/>
      <c r="E132" s="231"/>
      <c r="F132" s="59"/>
      <c r="G132" s="104"/>
      <c r="H132" s="64"/>
      <c r="I132" s="38"/>
      <c r="J132" s="38"/>
      <c r="M132" s="38"/>
      <c r="N132" s="38"/>
      <c r="O132" s="38"/>
      <c r="Q132" s="87"/>
    </row>
    <row r="133" spans="1:17">
      <c r="B133" s="52" t="s">
        <v>20</v>
      </c>
      <c r="C133" s="214">
        <f>761.65*0.32</f>
        <v>243.72800000000001</v>
      </c>
      <c r="E133" s="232"/>
      <c r="G133" s="213"/>
      <c r="H133" s="41"/>
      <c r="I133" s="38"/>
      <c r="J133" s="38"/>
      <c r="M133" s="38"/>
      <c r="N133" s="38"/>
      <c r="O133" s="38"/>
    </row>
    <row r="134" spans="1:17">
      <c r="B134" s="52"/>
      <c r="E134" s="231"/>
      <c r="H134" s="61"/>
      <c r="I134" s="38"/>
      <c r="J134" s="38"/>
      <c r="M134" s="38"/>
      <c r="N134" s="38"/>
      <c r="O134" s="38"/>
    </row>
    <row r="135" spans="1:17" ht="114.75">
      <c r="A135" s="43" t="s">
        <v>50</v>
      </c>
      <c r="B135" s="52" t="s">
        <v>177</v>
      </c>
      <c r="E135" s="231"/>
      <c r="H135" s="61"/>
      <c r="K135" s="52"/>
    </row>
    <row r="136" spans="1:17">
      <c r="A136" s="71"/>
      <c r="B136" s="52"/>
      <c r="E136" s="231"/>
      <c r="H136" s="61"/>
    </row>
    <row r="137" spans="1:17">
      <c r="B137" s="52" t="s">
        <v>20</v>
      </c>
      <c r="C137" s="214">
        <v>132</v>
      </c>
      <c r="E137" s="232"/>
      <c r="G137" s="213"/>
      <c r="H137" s="41"/>
    </row>
    <row r="138" spans="1:17">
      <c r="B138" s="52"/>
      <c r="C138" s="207" t="s">
        <v>170</v>
      </c>
      <c r="D138" s="203"/>
      <c r="E138" s="235" t="s">
        <v>171</v>
      </c>
      <c r="F138" s="203"/>
      <c r="G138" s="208" t="s">
        <v>164</v>
      </c>
      <c r="H138" s="61"/>
    </row>
    <row r="139" spans="1:17" ht="327.75" customHeight="1">
      <c r="A139" s="43" t="s">
        <v>51</v>
      </c>
      <c r="B139" s="16" t="s">
        <v>168</v>
      </c>
      <c r="E139" s="231"/>
      <c r="H139" s="61"/>
    </row>
    <row r="140" spans="1:17">
      <c r="A140" s="71"/>
      <c r="B140" s="72"/>
      <c r="E140" s="231"/>
      <c r="H140" s="61"/>
    </row>
    <row r="141" spans="1:17">
      <c r="B141" s="52" t="s">
        <v>25</v>
      </c>
      <c r="C141" s="214">
        <f>C93</f>
        <v>643</v>
      </c>
      <c r="E141" s="230"/>
      <c r="G141" s="213"/>
      <c r="H141" s="41"/>
    </row>
    <row r="142" spans="1:17">
      <c r="B142" s="52"/>
      <c r="E142" s="231"/>
      <c r="H142" s="41"/>
    </row>
    <row r="143" spans="1:17" ht="55.7" customHeight="1">
      <c r="A143" s="43" t="s">
        <v>67</v>
      </c>
      <c r="B143" s="16" t="s">
        <v>249</v>
      </c>
      <c r="E143" s="231"/>
      <c r="H143" s="61"/>
    </row>
    <row r="144" spans="1:17">
      <c r="A144" s="71"/>
      <c r="B144" s="72"/>
      <c r="E144" s="231"/>
      <c r="H144" s="61"/>
    </row>
    <row r="145" spans="1:11">
      <c r="B145" s="52" t="s">
        <v>25</v>
      </c>
      <c r="C145" s="214">
        <v>392</v>
      </c>
      <c r="E145" s="232"/>
      <c r="G145" s="213"/>
      <c r="H145" s="41"/>
    </row>
    <row r="146" spans="1:11">
      <c r="B146" s="52"/>
      <c r="E146" s="231"/>
      <c r="H146" s="61"/>
    </row>
    <row r="147" spans="1:11" ht="25.5">
      <c r="A147" s="43" t="s">
        <v>63</v>
      </c>
      <c r="B147" s="72" t="s">
        <v>248</v>
      </c>
      <c r="E147" s="231"/>
      <c r="H147" s="61"/>
      <c r="K147" s="121"/>
    </row>
    <row r="148" spans="1:11">
      <c r="A148" s="71"/>
      <c r="B148" s="72"/>
      <c r="E148" s="231"/>
      <c r="H148" s="61"/>
    </row>
    <row r="149" spans="1:11">
      <c r="B149" s="52" t="s">
        <v>25</v>
      </c>
      <c r="C149" s="214">
        <f>1.63/0.05</f>
        <v>32.599999999999994</v>
      </c>
      <c r="E149" s="232"/>
      <c r="G149" s="213"/>
      <c r="H149" s="41"/>
    </row>
    <row r="150" spans="1:11">
      <c r="B150" s="52"/>
      <c r="E150" s="231"/>
      <c r="H150" s="61"/>
    </row>
    <row r="151" spans="1:11" ht="116.25">
      <c r="A151" s="43" t="s">
        <v>57</v>
      </c>
      <c r="B151" s="52" t="s">
        <v>96</v>
      </c>
      <c r="E151" s="231"/>
      <c r="H151" s="61"/>
    </row>
    <row r="152" spans="1:11">
      <c r="B152" s="52"/>
      <c r="E152" s="231"/>
      <c r="H152" s="61"/>
    </row>
    <row r="153" spans="1:11">
      <c r="B153" s="52" t="s">
        <v>20</v>
      </c>
      <c r="C153" s="214">
        <f>(1221.37-C133)*1.3</f>
        <v>1270.9345999999998</v>
      </c>
      <c r="E153" s="232"/>
      <c r="G153" s="213"/>
      <c r="H153" s="41"/>
    </row>
    <row r="154" spans="1:11">
      <c r="B154" s="52"/>
      <c r="C154" s="207" t="s">
        <v>170</v>
      </c>
      <c r="D154" s="203"/>
      <c r="E154" s="235" t="s">
        <v>171</v>
      </c>
      <c r="F154" s="203"/>
      <c r="G154" s="208" t="s">
        <v>164</v>
      </c>
      <c r="H154" s="61"/>
    </row>
    <row r="155" spans="1:11" ht="141.94999999999999" customHeight="1">
      <c r="A155" s="43" t="s">
        <v>58</v>
      </c>
      <c r="B155" s="52" t="s">
        <v>131</v>
      </c>
      <c r="E155" s="231"/>
      <c r="H155" s="61"/>
    </row>
    <row r="156" spans="1:11">
      <c r="B156" s="52"/>
      <c r="E156" s="231"/>
      <c r="H156" s="61"/>
    </row>
    <row r="157" spans="1:11">
      <c r="B157" s="52" t="s">
        <v>25</v>
      </c>
      <c r="C157" s="214">
        <f>C89/0.15</f>
        <v>296.66666666666669</v>
      </c>
      <c r="E157" s="232"/>
      <c r="G157" s="213"/>
      <c r="H157" s="41"/>
    </row>
    <row r="158" spans="1:11">
      <c r="B158" s="52"/>
      <c r="C158" s="227"/>
      <c r="D158" s="229"/>
      <c r="E158" s="234"/>
      <c r="F158" s="229"/>
      <c r="G158" s="228"/>
      <c r="H158" s="61"/>
    </row>
    <row r="159" spans="1:11" ht="55.7" customHeight="1">
      <c r="A159" s="43" t="s">
        <v>64</v>
      </c>
      <c r="B159" s="52" t="s">
        <v>97</v>
      </c>
      <c r="E159" s="231"/>
      <c r="H159" s="61"/>
    </row>
    <row r="160" spans="1:11">
      <c r="B160" s="52"/>
      <c r="E160" s="231"/>
      <c r="H160" s="61"/>
    </row>
    <row r="161" spans="1:17">
      <c r="B161" s="52" t="s">
        <v>41</v>
      </c>
      <c r="C161" s="214">
        <v>5</v>
      </c>
      <c r="E161" s="232"/>
      <c r="G161" s="213"/>
      <c r="H161" s="41"/>
    </row>
    <row r="162" spans="1:17">
      <c r="B162" s="52"/>
      <c r="E162" s="231"/>
      <c r="H162" s="61"/>
    </row>
    <row r="163" spans="1:17" s="64" customFormat="1" ht="63.75">
      <c r="A163" s="43" t="s">
        <v>65</v>
      </c>
      <c r="B163" s="52" t="s">
        <v>7</v>
      </c>
      <c r="C163" s="41"/>
      <c r="D163" s="41"/>
      <c r="E163" s="231"/>
      <c r="F163" s="41"/>
      <c r="G163" s="97"/>
      <c r="H163" s="61"/>
      <c r="I163" s="62"/>
      <c r="J163" s="63"/>
      <c r="M163" s="65"/>
      <c r="N163" s="65"/>
      <c r="O163" s="65"/>
      <c r="Q163" s="82"/>
    </row>
    <row r="164" spans="1:17">
      <c r="B164" s="52"/>
      <c r="C164" s="59"/>
      <c r="D164" s="59"/>
      <c r="E164" s="233"/>
      <c r="F164" s="59"/>
      <c r="G164" s="104"/>
      <c r="H164" s="64"/>
      <c r="Q164" s="87"/>
    </row>
    <row r="165" spans="1:17">
      <c r="B165" s="52" t="s">
        <v>39</v>
      </c>
      <c r="E165" s="231"/>
      <c r="G165" s="213"/>
      <c r="H165" s="41"/>
    </row>
    <row r="166" spans="1:17">
      <c r="B166" s="52"/>
      <c r="E166" s="231"/>
      <c r="H166" s="61"/>
    </row>
    <row r="167" spans="1:17" s="7" customFormat="1">
      <c r="A167" s="43"/>
      <c r="B167" s="60" t="s">
        <v>21</v>
      </c>
      <c r="C167" s="56"/>
      <c r="D167" s="56"/>
      <c r="E167" s="239"/>
      <c r="F167" s="56"/>
      <c r="G167" s="209"/>
      <c r="H167" s="49"/>
      <c r="I167" s="26"/>
      <c r="J167" s="22"/>
      <c r="M167" s="30"/>
      <c r="N167" s="30"/>
      <c r="O167" s="30"/>
      <c r="Q167" s="86"/>
    </row>
    <row r="168" spans="1:17" ht="15.95" customHeight="1">
      <c r="A168" s="47"/>
      <c r="B168" s="9"/>
      <c r="C168" s="56"/>
      <c r="D168" s="56"/>
      <c r="E168" s="239"/>
      <c r="F168" s="56"/>
      <c r="G168" s="100"/>
      <c r="Q168" s="86"/>
    </row>
    <row r="169" spans="1:17">
      <c r="A169" s="11" t="s">
        <v>42</v>
      </c>
      <c r="B169" s="9" t="s">
        <v>18</v>
      </c>
      <c r="C169" s="46"/>
      <c r="D169" s="7"/>
      <c r="E169" s="237"/>
      <c r="F169" s="7"/>
      <c r="G169" s="99"/>
      <c r="H169" s="7"/>
      <c r="Q169" s="91"/>
    </row>
    <row r="170" spans="1:17">
      <c r="A170" s="11"/>
      <c r="B170" s="9"/>
      <c r="C170" s="46"/>
      <c r="D170" s="7"/>
      <c r="E170" s="237"/>
      <c r="F170" s="7"/>
      <c r="G170" s="99"/>
      <c r="H170" s="7"/>
      <c r="Q170" s="91"/>
    </row>
    <row r="171" spans="1:17" ht="43.5" customHeight="1">
      <c r="A171" s="43" t="s">
        <v>112</v>
      </c>
      <c r="B171" s="73" t="s">
        <v>98</v>
      </c>
      <c r="E171" s="231"/>
      <c r="H171" s="61"/>
    </row>
    <row r="172" spans="1:17">
      <c r="B172" s="52"/>
      <c r="E172" s="231"/>
      <c r="H172" s="61"/>
    </row>
    <row r="173" spans="1:17">
      <c r="B173" s="52" t="s">
        <v>22</v>
      </c>
      <c r="C173" s="214">
        <v>472</v>
      </c>
      <c r="E173" s="232"/>
      <c r="G173" s="213"/>
      <c r="H173" s="41"/>
    </row>
    <row r="174" spans="1:17">
      <c r="B174" s="52"/>
      <c r="C174" s="120"/>
      <c r="E174" s="231"/>
      <c r="H174" s="41"/>
    </row>
    <row r="175" spans="1:17" ht="97.5" customHeight="1">
      <c r="A175" s="43" t="s">
        <v>78</v>
      </c>
      <c r="B175" s="73" t="s">
        <v>99</v>
      </c>
      <c r="E175" s="231"/>
      <c r="H175" s="61"/>
    </row>
    <row r="176" spans="1:17">
      <c r="B176" s="52"/>
      <c r="E176" s="231"/>
      <c r="H176" s="61"/>
    </row>
    <row r="177" spans="1:17">
      <c r="B177" s="52" t="s">
        <v>22</v>
      </c>
      <c r="C177" s="214">
        <v>472</v>
      </c>
      <c r="E177" s="230"/>
      <c r="G177" s="213"/>
      <c r="H177" s="41"/>
    </row>
    <row r="178" spans="1:17">
      <c r="B178" s="52"/>
      <c r="C178" s="207" t="s">
        <v>170</v>
      </c>
      <c r="D178" s="203"/>
      <c r="E178" s="235" t="s">
        <v>171</v>
      </c>
      <c r="F178" s="203"/>
      <c r="G178" s="208" t="s">
        <v>164</v>
      </c>
      <c r="H178" s="61"/>
    </row>
    <row r="179" spans="1:17" ht="63.75">
      <c r="A179" s="43" t="s">
        <v>60</v>
      </c>
      <c r="B179" s="52" t="s">
        <v>218</v>
      </c>
      <c r="E179" s="231"/>
      <c r="H179" s="61"/>
      <c r="I179" s="38"/>
      <c r="J179" s="38"/>
      <c r="M179" s="38"/>
      <c r="N179" s="38"/>
      <c r="O179" s="38"/>
    </row>
    <row r="180" spans="1:17">
      <c r="B180" s="52"/>
      <c r="E180" s="231"/>
      <c r="H180" s="61"/>
      <c r="I180" s="38"/>
      <c r="J180" s="38"/>
      <c r="M180" s="38"/>
      <c r="N180" s="38"/>
      <c r="O180" s="38"/>
    </row>
    <row r="181" spans="1:17">
      <c r="B181" s="52" t="s">
        <v>59</v>
      </c>
      <c r="C181" s="41">
        <v>5</v>
      </c>
      <c r="E181" s="230"/>
      <c r="G181" s="213"/>
      <c r="H181" s="41"/>
      <c r="I181" s="38"/>
      <c r="J181" s="38"/>
      <c r="M181" s="38"/>
      <c r="N181" s="38"/>
      <c r="O181" s="38"/>
    </row>
    <row r="182" spans="1:17" s="79" customFormat="1">
      <c r="A182" s="43"/>
      <c r="B182" s="52"/>
      <c r="C182" s="124"/>
      <c r="D182" s="41"/>
      <c r="E182" s="231"/>
      <c r="F182" s="41"/>
      <c r="G182" s="97"/>
      <c r="H182" s="41"/>
      <c r="Q182" s="95"/>
    </row>
    <row r="183" spans="1:17" s="79" customFormat="1" ht="102">
      <c r="A183" s="43" t="s">
        <v>101</v>
      </c>
      <c r="B183" s="10" t="s">
        <v>195</v>
      </c>
      <c r="C183" s="41"/>
      <c r="D183" s="41"/>
      <c r="E183" s="231"/>
      <c r="F183" s="41"/>
      <c r="G183" s="97"/>
      <c r="H183" s="125"/>
      <c r="K183" s="10"/>
      <c r="Q183" s="82"/>
    </row>
    <row r="184" spans="1:17" s="79" customFormat="1">
      <c r="A184" s="43"/>
      <c r="B184" s="10"/>
      <c r="C184" s="41"/>
      <c r="D184" s="41"/>
      <c r="E184" s="231"/>
      <c r="F184" s="41"/>
      <c r="G184" s="97"/>
      <c r="H184" s="125"/>
      <c r="K184" s="10"/>
      <c r="Q184" s="82"/>
    </row>
    <row r="185" spans="1:17" s="79" customFormat="1">
      <c r="A185" s="43"/>
      <c r="B185" s="52" t="s">
        <v>117</v>
      </c>
      <c r="C185" s="216">
        <v>17</v>
      </c>
      <c r="D185" s="41"/>
      <c r="E185" s="232"/>
      <c r="F185" s="41"/>
      <c r="G185" s="213"/>
      <c r="H185" s="41"/>
      <c r="Q185" s="95"/>
    </row>
    <row r="186" spans="1:17" s="79" customFormat="1">
      <c r="A186" s="43"/>
      <c r="B186" s="52" t="s">
        <v>118</v>
      </c>
      <c r="C186" s="216">
        <v>3</v>
      </c>
      <c r="D186" s="41"/>
      <c r="E186" s="232"/>
      <c r="F186" s="41"/>
      <c r="G186" s="213"/>
      <c r="H186" s="41"/>
      <c r="Q186" s="95"/>
    </row>
    <row r="187" spans="1:17" s="79" customFormat="1">
      <c r="A187" s="43"/>
      <c r="B187" s="52"/>
      <c r="C187" s="124"/>
      <c r="D187" s="41"/>
      <c r="E187" s="231"/>
      <c r="F187" s="41"/>
      <c r="G187" s="97"/>
      <c r="H187" s="41"/>
      <c r="Q187" s="95"/>
    </row>
    <row r="188" spans="1:17" s="79" customFormat="1" ht="165.75">
      <c r="A188" s="43" t="s">
        <v>79</v>
      </c>
      <c r="B188" s="10" t="s">
        <v>194</v>
      </c>
      <c r="C188" s="41"/>
      <c r="D188" s="41"/>
      <c r="E188" s="231"/>
      <c r="F188" s="41"/>
      <c r="G188" s="97"/>
      <c r="H188" s="125"/>
      <c r="K188" s="10"/>
      <c r="Q188" s="82"/>
    </row>
    <row r="189" spans="1:17" s="79" customFormat="1">
      <c r="A189" s="43"/>
      <c r="B189" s="52"/>
      <c r="C189" s="41"/>
      <c r="D189" s="41"/>
      <c r="E189" s="231"/>
      <c r="F189" s="41"/>
      <c r="G189" s="97"/>
      <c r="H189" s="125"/>
      <c r="Q189" s="82"/>
    </row>
    <row r="190" spans="1:17" s="79" customFormat="1">
      <c r="A190" s="43"/>
      <c r="B190" s="52" t="s">
        <v>117</v>
      </c>
      <c r="C190" s="216">
        <f>C185</f>
        <v>17</v>
      </c>
      <c r="D190" s="41"/>
      <c r="E190" s="232"/>
      <c r="F190" s="41"/>
      <c r="G190" s="213"/>
      <c r="H190" s="41"/>
      <c r="Q190" s="95"/>
    </row>
    <row r="191" spans="1:17" s="79" customFormat="1">
      <c r="A191" s="43"/>
      <c r="B191" s="52" t="s">
        <v>118</v>
      </c>
      <c r="C191" s="124">
        <f>C186</f>
        <v>3</v>
      </c>
      <c r="D191" s="41"/>
      <c r="E191" s="232"/>
      <c r="F191" s="41"/>
      <c r="G191" s="213"/>
      <c r="H191" s="41"/>
      <c r="Q191" s="95"/>
    </row>
    <row r="192" spans="1:17" s="79" customFormat="1">
      <c r="A192" s="43"/>
      <c r="B192" s="52"/>
      <c r="C192" s="124"/>
      <c r="D192" s="41"/>
      <c r="E192" s="231"/>
      <c r="F192" s="41"/>
      <c r="G192" s="97"/>
      <c r="H192" s="41"/>
      <c r="Q192" s="95"/>
    </row>
    <row r="193" spans="1:17" s="79" customFormat="1" ht="114.75">
      <c r="A193" s="43" t="s">
        <v>113</v>
      </c>
      <c r="B193" s="10" t="s">
        <v>204</v>
      </c>
      <c r="C193" s="41"/>
      <c r="D193" s="41"/>
      <c r="E193" s="231"/>
      <c r="F193" s="41"/>
      <c r="G193" s="97"/>
      <c r="H193" s="125"/>
      <c r="K193" s="10"/>
      <c r="Q193" s="82"/>
    </row>
    <row r="194" spans="1:17" s="79" customFormat="1">
      <c r="A194" s="43"/>
      <c r="B194" s="10"/>
      <c r="C194" s="41"/>
      <c r="D194" s="41"/>
      <c r="E194" s="231"/>
      <c r="F194" s="41"/>
      <c r="G194" s="97"/>
      <c r="H194" s="125"/>
      <c r="K194" s="10"/>
      <c r="Q194" s="82"/>
    </row>
    <row r="195" spans="1:17" s="79" customFormat="1">
      <c r="A195" s="43"/>
      <c r="B195" s="52" t="s">
        <v>118</v>
      </c>
      <c r="C195" s="216">
        <v>2</v>
      </c>
      <c r="D195" s="41"/>
      <c r="E195" s="232"/>
      <c r="F195" s="41"/>
      <c r="G195" s="213"/>
      <c r="H195" s="41"/>
      <c r="Q195" s="95"/>
    </row>
    <row r="196" spans="1:17" s="79" customFormat="1">
      <c r="A196" s="43"/>
      <c r="B196" s="52" t="s">
        <v>119</v>
      </c>
      <c r="C196" s="216">
        <v>2</v>
      </c>
      <c r="D196" s="41"/>
      <c r="E196" s="232"/>
      <c r="F196" s="41"/>
      <c r="G196" s="213"/>
      <c r="H196" s="41"/>
      <c r="Q196" s="95"/>
    </row>
    <row r="197" spans="1:17" s="79" customFormat="1">
      <c r="A197" s="43"/>
      <c r="B197" s="52"/>
      <c r="C197" s="207" t="s">
        <v>170</v>
      </c>
      <c r="D197" s="203"/>
      <c r="E197" s="235" t="s">
        <v>171</v>
      </c>
      <c r="F197" s="203"/>
      <c r="G197" s="208" t="s">
        <v>164</v>
      </c>
      <c r="H197" s="41"/>
      <c r="Q197" s="95"/>
    </row>
    <row r="198" spans="1:17" s="79" customFormat="1" ht="178.5">
      <c r="A198" s="43" t="s">
        <v>77</v>
      </c>
      <c r="B198" s="10" t="s">
        <v>205</v>
      </c>
      <c r="C198" s="41"/>
      <c r="D198" s="41"/>
      <c r="E198" s="231"/>
      <c r="F198" s="41"/>
      <c r="G198" s="97"/>
      <c r="H198" s="125"/>
      <c r="K198" s="10"/>
      <c r="Q198" s="82"/>
    </row>
    <row r="199" spans="1:17" s="79" customFormat="1">
      <c r="A199" s="43"/>
      <c r="B199" s="52"/>
      <c r="C199" s="41"/>
      <c r="D199" s="41"/>
      <c r="E199" s="231"/>
      <c r="F199" s="41"/>
      <c r="G199" s="97"/>
      <c r="H199" s="125"/>
      <c r="Q199" s="82"/>
    </row>
    <row r="200" spans="1:17" s="79" customFormat="1">
      <c r="A200" s="43"/>
      <c r="B200" s="52" t="s">
        <v>118</v>
      </c>
      <c r="C200" s="216">
        <f>C195</f>
        <v>2</v>
      </c>
      <c r="D200" s="41"/>
      <c r="E200" s="232"/>
      <c r="F200" s="41"/>
      <c r="G200" s="213"/>
      <c r="H200" s="41"/>
      <c r="Q200" s="95"/>
    </row>
    <row r="201" spans="1:17" s="79" customFormat="1">
      <c r="A201" s="43"/>
      <c r="B201" s="52" t="s">
        <v>119</v>
      </c>
      <c r="C201" s="216">
        <f>C196</f>
        <v>2</v>
      </c>
      <c r="D201" s="41"/>
      <c r="E201" s="232"/>
      <c r="F201" s="41"/>
      <c r="G201" s="213"/>
      <c r="H201" s="41"/>
      <c r="Q201" s="95"/>
    </row>
    <row r="202" spans="1:17">
      <c r="A202" s="6"/>
      <c r="B202" s="10"/>
      <c r="C202" s="4"/>
      <c r="D202" s="2"/>
      <c r="E202" s="231"/>
      <c r="F202" s="2"/>
      <c r="G202" s="89"/>
      <c r="H202" s="2"/>
      <c r="Q202" s="89"/>
    </row>
    <row r="203" spans="1:17" ht="102">
      <c r="A203" s="43" t="s">
        <v>115</v>
      </c>
      <c r="B203" s="10" t="s">
        <v>219</v>
      </c>
      <c r="E203" s="231"/>
      <c r="H203" s="61"/>
      <c r="K203" s="10"/>
    </row>
    <row r="204" spans="1:17">
      <c r="B204" s="52"/>
      <c r="E204" s="231"/>
      <c r="H204" s="61"/>
    </row>
    <row r="205" spans="1:17">
      <c r="B205" s="52" t="s">
        <v>23</v>
      </c>
      <c r="C205" s="214">
        <v>1</v>
      </c>
      <c r="E205" s="232"/>
      <c r="G205" s="213"/>
      <c r="H205" s="41"/>
      <c r="M205" s="107"/>
      <c r="Q205" s="95"/>
    </row>
    <row r="206" spans="1:17">
      <c r="B206" s="52"/>
      <c r="E206" s="231"/>
      <c r="H206" s="41"/>
      <c r="Q206" s="95"/>
    </row>
    <row r="207" spans="1:17" ht="165.75">
      <c r="A207" s="43" t="s">
        <v>108</v>
      </c>
      <c r="B207" s="10" t="s">
        <v>220</v>
      </c>
      <c r="E207" s="231"/>
      <c r="H207" s="61"/>
      <c r="K207" s="10"/>
    </row>
    <row r="208" spans="1:17">
      <c r="B208" s="52"/>
      <c r="E208" s="231"/>
      <c r="H208" s="61"/>
    </row>
    <row r="209" spans="1:17">
      <c r="B209" s="52" t="s">
        <v>23</v>
      </c>
      <c r="C209" s="214">
        <f>C205</f>
        <v>1</v>
      </c>
      <c r="E209" s="232"/>
      <c r="G209" s="213"/>
      <c r="H209" s="41"/>
      <c r="M209" s="107"/>
      <c r="Q209" s="95"/>
    </row>
    <row r="210" spans="1:17" s="5" customFormat="1">
      <c r="A210" s="6"/>
      <c r="B210" s="10"/>
      <c r="C210" s="207" t="s">
        <v>170</v>
      </c>
      <c r="D210" s="203"/>
      <c r="E210" s="235" t="s">
        <v>171</v>
      </c>
      <c r="F210" s="203"/>
      <c r="G210" s="208" t="s">
        <v>164</v>
      </c>
      <c r="H210" s="2"/>
      <c r="Q210" s="89"/>
    </row>
    <row r="211" spans="1:17" s="5" customFormat="1" ht="191.25">
      <c r="A211" s="6" t="s">
        <v>109</v>
      </c>
      <c r="B211" s="126" t="s">
        <v>167</v>
      </c>
      <c r="C211" s="2"/>
      <c r="D211" s="2"/>
      <c r="E211" s="231"/>
      <c r="F211" s="2"/>
      <c r="G211" s="105"/>
      <c r="H211" s="15"/>
      <c r="K211" s="10"/>
      <c r="Q211" s="89"/>
    </row>
    <row r="212" spans="1:17" s="5" customFormat="1">
      <c r="A212" s="6"/>
      <c r="B212" s="10"/>
      <c r="C212" s="2"/>
      <c r="D212" s="2"/>
      <c r="E212" s="231"/>
      <c r="F212" s="2"/>
      <c r="G212" s="105"/>
      <c r="H212" s="15"/>
      <c r="Q212" s="89"/>
    </row>
    <row r="213" spans="1:17" s="5" customFormat="1">
      <c r="A213" s="6"/>
      <c r="B213" s="10" t="s">
        <v>23</v>
      </c>
      <c r="C213" s="217">
        <v>12</v>
      </c>
      <c r="D213" s="2"/>
      <c r="E213" s="232"/>
      <c r="F213" s="2"/>
      <c r="G213" s="218"/>
      <c r="H213" s="2"/>
      <c r="J213" s="122"/>
      <c r="Q213" s="89"/>
    </row>
    <row r="214" spans="1:17">
      <c r="B214" s="52"/>
      <c r="E214" s="231"/>
      <c r="H214" s="61"/>
      <c r="I214" s="38"/>
      <c r="J214" s="38"/>
      <c r="M214" s="38"/>
      <c r="N214" s="38"/>
      <c r="O214" s="38"/>
    </row>
    <row r="215" spans="1:17" ht="40.5" customHeight="1">
      <c r="A215" s="43" t="s">
        <v>1</v>
      </c>
      <c r="B215" s="52" t="s">
        <v>104</v>
      </c>
      <c r="E215" s="231"/>
      <c r="H215" s="61"/>
    </row>
    <row r="216" spans="1:17">
      <c r="B216" s="52"/>
      <c r="E216" s="231"/>
      <c r="H216" s="61"/>
    </row>
    <row r="217" spans="1:17">
      <c r="B217" s="52" t="s">
        <v>23</v>
      </c>
      <c r="C217" s="214">
        <v>25</v>
      </c>
      <c r="E217" s="232"/>
      <c r="G217" s="213"/>
      <c r="H217" s="41"/>
      <c r="Q217" s="95"/>
    </row>
    <row r="218" spans="1:17">
      <c r="B218" s="52"/>
      <c r="E218" s="231"/>
      <c r="H218" s="41"/>
      <c r="Q218" s="95"/>
    </row>
    <row r="219" spans="1:17" ht="30.75" customHeight="1">
      <c r="A219" s="43" t="s">
        <v>105</v>
      </c>
      <c r="B219" s="52" t="s">
        <v>103</v>
      </c>
      <c r="E219" s="231"/>
      <c r="H219" s="61"/>
    </row>
    <row r="220" spans="1:17">
      <c r="B220" s="52"/>
      <c r="E220" s="231"/>
      <c r="H220" s="49"/>
    </row>
    <row r="221" spans="1:17">
      <c r="B221" s="52" t="s">
        <v>22</v>
      </c>
      <c r="C221" s="214">
        <v>472</v>
      </c>
      <c r="E221" s="230"/>
      <c r="G221" s="213"/>
      <c r="H221" s="41"/>
    </row>
    <row r="222" spans="1:17">
      <c r="B222" s="52"/>
      <c r="E222" s="231"/>
      <c r="H222" s="41"/>
      <c r="Q222" s="95"/>
    </row>
    <row r="223" spans="1:17" ht="42.75" customHeight="1">
      <c r="A223" s="43" t="s">
        <v>2</v>
      </c>
      <c r="B223" s="52" t="s">
        <v>102</v>
      </c>
      <c r="E223" s="231"/>
      <c r="H223" s="61"/>
    </row>
    <row r="224" spans="1:17">
      <c r="B224" s="52"/>
      <c r="E224" s="231"/>
      <c r="H224" s="49"/>
    </row>
    <row r="225" spans="1:17">
      <c r="B225" s="52" t="s">
        <v>22</v>
      </c>
      <c r="C225" s="214">
        <v>472</v>
      </c>
      <c r="E225" s="230"/>
      <c r="G225" s="213"/>
      <c r="H225" s="41"/>
    </row>
    <row r="226" spans="1:17">
      <c r="B226" s="52"/>
      <c r="E226" s="240"/>
      <c r="H226" s="41"/>
    </row>
    <row r="227" spans="1:17" ht="22.5" customHeight="1">
      <c r="A227" s="43" t="s">
        <v>110</v>
      </c>
      <c r="B227" s="52" t="s">
        <v>106</v>
      </c>
      <c r="E227" s="231"/>
      <c r="H227" s="61"/>
    </row>
    <row r="228" spans="1:17">
      <c r="B228" s="52"/>
      <c r="E228" s="231"/>
      <c r="H228" s="49"/>
    </row>
    <row r="229" spans="1:17">
      <c r="B229" s="52" t="s">
        <v>22</v>
      </c>
      <c r="C229" s="214">
        <v>472</v>
      </c>
      <c r="E229" s="230"/>
      <c r="G229" s="213"/>
      <c r="H229" s="41"/>
    </row>
    <row r="230" spans="1:17">
      <c r="B230" s="52"/>
      <c r="E230" s="231"/>
      <c r="H230" s="61"/>
    </row>
    <row r="231" spans="1:17" s="64" customFormat="1" ht="63.75">
      <c r="A231" s="43" t="s">
        <v>111</v>
      </c>
      <c r="B231" s="52" t="s">
        <v>9</v>
      </c>
      <c r="C231" s="41"/>
      <c r="D231" s="41"/>
      <c r="E231" s="231"/>
      <c r="F231" s="41"/>
      <c r="G231" s="97"/>
      <c r="H231" s="61"/>
      <c r="I231" s="62"/>
      <c r="J231" s="63"/>
      <c r="M231" s="65"/>
      <c r="N231" s="65"/>
      <c r="O231" s="65"/>
      <c r="Q231" s="82"/>
    </row>
    <row r="232" spans="1:17">
      <c r="B232" s="52"/>
      <c r="C232" s="59"/>
      <c r="D232" s="59"/>
      <c r="E232" s="233"/>
      <c r="F232" s="59"/>
      <c r="G232" s="104"/>
      <c r="H232" s="64"/>
      <c r="Q232" s="87"/>
    </row>
    <row r="233" spans="1:17">
      <c r="B233" s="52" t="s">
        <v>39</v>
      </c>
      <c r="E233" s="231"/>
      <c r="G233" s="213"/>
      <c r="H233" s="41"/>
      <c r="J233" s="97"/>
      <c r="K233" s="97"/>
    </row>
    <row r="234" spans="1:17">
      <c r="B234" s="52"/>
      <c r="E234" s="231"/>
      <c r="H234" s="61"/>
    </row>
    <row r="235" spans="1:17">
      <c r="B235" s="48" t="s">
        <v>24</v>
      </c>
      <c r="C235" s="56"/>
      <c r="D235" s="56"/>
      <c r="E235" s="239"/>
      <c r="F235" s="56"/>
      <c r="G235" s="209"/>
      <c r="Q235" s="86"/>
    </row>
    <row r="236" spans="1:17">
      <c r="B236" s="48"/>
      <c r="C236" s="56"/>
      <c r="D236" s="56"/>
      <c r="E236" s="239"/>
      <c r="F236" s="56"/>
      <c r="G236" s="100"/>
      <c r="Q236" s="86"/>
    </row>
    <row r="237" spans="1:17">
      <c r="A237" s="11" t="s">
        <v>0</v>
      </c>
      <c r="B237" s="9" t="s">
        <v>40</v>
      </c>
      <c r="C237" s="46"/>
      <c r="D237" s="7"/>
      <c r="E237" s="237"/>
      <c r="F237" s="7"/>
      <c r="G237" s="99"/>
      <c r="H237" s="41"/>
      <c r="Q237" s="91"/>
    </row>
    <row r="238" spans="1:17">
      <c r="C238" s="207" t="s">
        <v>170</v>
      </c>
      <c r="D238" s="203"/>
      <c r="E238" s="235" t="s">
        <v>171</v>
      </c>
      <c r="F238" s="203"/>
      <c r="G238" s="208" t="s">
        <v>164</v>
      </c>
      <c r="H238" s="61"/>
    </row>
    <row r="239" spans="1:17" ht="51">
      <c r="A239" s="43" t="s">
        <v>3</v>
      </c>
      <c r="B239" s="53" t="s">
        <v>72</v>
      </c>
      <c r="E239" s="231"/>
      <c r="H239" s="61"/>
    </row>
    <row r="240" spans="1:17">
      <c r="E240" s="231"/>
      <c r="H240" s="61"/>
    </row>
    <row r="241" spans="1:17">
      <c r="B241" s="52" t="s">
        <v>23</v>
      </c>
      <c r="C241" s="214">
        <v>8</v>
      </c>
      <c r="E241" s="230"/>
      <c r="G241" s="213"/>
      <c r="H241" s="41"/>
    </row>
    <row r="242" spans="1:17">
      <c r="H242" s="61"/>
    </row>
    <row r="243" spans="1:17">
      <c r="A243" s="47"/>
      <c r="B243" s="9" t="s">
        <v>44</v>
      </c>
      <c r="C243" s="56"/>
      <c r="D243" s="56"/>
      <c r="E243" s="112"/>
      <c r="F243" s="56"/>
      <c r="G243" s="209"/>
      <c r="Q243" s="86"/>
    </row>
    <row r="244" spans="1:17">
      <c r="H244" s="61"/>
    </row>
    <row r="245" spans="1:17">
      <c r="H245" s="61"/>
    </row>
  </sheetData>
  <sheetProtection selectLockedCells="1"/>
  <mergeCells count="2">
    <mergeCell ref="E23:G23"/>
    <mergeCell ref="E24:G24"/>
  </mergeCells>
  <conditionalFormatting sqref="G14:G18 C42:G66 C69:G93 C95:G97 C102:G117 C119:G121 C125:G137 C139:G153 C155:G157 C161:G177 C179:G185 C190:G196 C198:G209 C211:G229 C233:G235">
    <cfRule type="cellIs" dxfId="11" priority="4" stopIfTrue="1" operator="greaterThan">
      <formula>0</formula>
    </cfRule>
  </conditionalFormatting>
  <pageMargins left="1.1811023622047245" right="0.15748031496062992" top="0.59055118110236227" bottom="0.59055118110236227" header="0.39370078740157483" footer="0.39370078740157483"/>
  <pageSetup paperSize="9" orientation="portrait" useFirstPageNumber="1" r:id="rId1"/>
  <headerFooter alignWithMargins="0">
    <oddHeader>&amp;R&amp;"Arial,Navadno"&amp;9KANAL PV5</oddHeader>
    <oddFooter>&amp;C&amp;"Arial,Navadno"&amp;10&amp;P</oddFooter>
  </headerFooter>
  <rowBreaks count="10" manualBreakCount="10">
    <brk id="34" max="6" man="1"/>
    <brk id="66" max="6" man="1"/>
    <brk id="93" max="6" man="1"/>
    <brk id="117" max="6" man="1"/>
    <brk id="137" max="6" man="1"/>
    <brk id="153" max="6" man="1"/>
    <brk id="177" max="6" man="1"/>
    <brk id="196" max="6" man="1"/>
    <brk id="209" max="6" man="1"/>
    <brk id="235" max="6"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Q200"/>
  <sheetViews>
    <sheetView view="pageBreakPreview" topLeftCell="A20" zoomScale="60" zoomScaleNormal="100" workbookViewId="0">
      <selection activeCell="E42" sqref="E42:E196"/>
    </sheetView>
  </sheetViews>
  <sheetFormatPr defaultColWidth="8.6640625" defaultRowHeight="15.75"/>
  <cols>
    <col min="1" max="1" width="6.5546875" style="43" customWidth="1"/>
    <col min="2" max="2" width="27.44140625" style="53" customWidth="1"/>
    <col min="3" max="3" width="7.44140625" style="41" customWidth="1"/>
    <col min="4" max="4" width="1.109375" style="41" customWidth="1"/>
    <col min="5" max="5" width="11.109375" style="107" customWidth="1"/>
    <col min="6" max="6" width="3.44140625" style="41" customWidth="1"/>
    <col min="7" max="7" width="14" style="97" customWidth="1"/>
    <col min="8" max="8" width="3.6640625" style="38" customWidth="1"/>
    <col min="9" max="9" width="14.88671875" style="36" customWidth="1"/>
    <col min="10" max="10" width="8.6640625" style="37" customWidth="1"/>
    <col min="11" max="11" width="25.5546875" style="38" customWidth="1"/>
    <col min="12" max="12" width="15.5546875" style="38" customWidth="1"/>
    <col min="13" max="15" width="8.6640625" style="39" customWidth="1"/>
    <col min="16" max="16" width="8.6640625" style="38" customWidth="1"/>
    <col min="17" max="17" width="11.109375" style="82" customWidth="1"/>
    <col min="18" max="16384" width="8.6640625" style="38"/>
  </cols>
  <sheetData>
    <row r="1" spans="1:17" s="79" customFormat="1" ht="15.95" customHeight="1">
      <c r="A1" s="34"/>
      <c r="B1" s="35" t="s">
        <v>11</v>
      </c>
      <c r="C1" s="1" t="s">
        <v>123</v>
      </c>
      <c r="D1" s="33"/>
      <c r="E1" s="33"/>
      <c r="F1" s="2"/>
      <c r="G1" s="96"/>
      <c r="H1" s="78"/>
      <c r="Q1" s="90"/>
    </row>
    <row r="2" spans="1:17" s="79" customFormat="1" ht="15.95" customHeight="1">
      <c r="A2" s="34"/>
      <c r="B2" s="35"/>
      <c r="C2" s="1" t="s">
        <v>124</v>
      </c>
      <c r="D2" s="33"/>
      <c r="E2" s="33"/>
      <c r="F2" s="2"/>
      <c r="G2" s="96"/>
      <c r="H2" s="78"/>
      <c r="Q2" s="90"/>
    </row>
    <row r="3" spans="1:17" s="79" customFormat="1" ht="15.95" customHeight="1">
      <c r="A3" s="34"/>
      <c r="B3" s="35" t="s">
        <v>8</v>
      </c>
      <c r="C3" s="40" t="s">
        <v>221</v>
      </c>
      <c r="D3" s="33"/>
      <c r="E3" s="106"/>
      <c r="F3" s="2"/>
      <c r="G3" s="96"/>
      <c r="H3" s="78"/>
      <c r="Q3" s="90"/>
    </row>
    <row r="4" spans="1:17" s="79" customFormat="1">
      <c r="A4" s="34"/>
      <c r="B4" s="35" t="s">
        <v>12</v>
      </c>
      <c r="C4" s="40" t="s">
        <v>207</v>
      </c>
      <c r="D4" s="41"/>
      <c r="E4" s="107"/>
      <c r="F4" s="41"/>
      <c r="G4" s="97"/>
      <c r="Q4" s="82"/>
    </row>
    <row r="5" spans="1:17" s="79" customFormat="1">
      <c r="A5" s="34"/>
      <c r="B5" s="35" t="s">
        <v>13</v>
      </c>
      <c r="C5" s="1" t="s">
        <v>172</v>
      </c>
      <c r="D5" s="33"/>
      <c r="E5" s="106"/>
      <c r="F5" s="2"/>
      <c r="G5" s="97"/>
      <c r="Q5" s="90"/>
    </row>
    <row r="6" spans="1:17">
      <c r="A6" s="34"/>
      <c r="B6" s="35"/>
      <c r="C6" s="42" t="s">
        <v>173</v>
      </c>
    </row>
    <row r="7" spans="1:17">
      <c r="A7" s="34"/>
      <c r="B7" s="35"/>
      <c r="C7" s="42"/>
    </row>
    <row r="9" spans="1:17" ht="18">
      <c r="A9" s="43" t="s">
        <v>14</v>
      </c>
      <c r="B9" s="44" t="s">
        <v>52</v>
      </c>
      <c r="C9" s="45"/>
      <c r="D9" s="45"/>
      <c r="E9" s="108"/>
      <c r="F9" s="45"/>
      <c r="G9" s="98"/>
      <c r="Q9" s="83"/>
    </row>
    <row r="10" spans="1:17">
      <c r="B10" s="45"/>
      <c r="C10" s="45"/>
      <c r="D10" s="45"/>
      <c r="E10" s="108"/>
      <c r="F10" s="45"/>
      <c r="G10" s="98"/>
      <c r="Q10" s="83"/>
    </row>
    <row r="12" spans="1:17" s="7" customFormat="1">
      <c r="A12" s="8" t="s">
        <v>15</v>
      </c>
      <c r="B12" s="9" t="s">
        <v>16</v>
      </c>
      <c r="C12" s="46"/>
      <c r="E12" s="109"/>
      <c r="G12" s="99"/>
      <c r="I12" s="26"/>
      <c r="J12" s="22"/>
      <c r="M12" s="30"/>
      <c r="N12" s="30"/>
      <c r="O12" s="30"/>
      <c r="Q12" s="91"/>
    </row>
    <row r="13" spans="1:17" s="7" customFormat="1">
      <c r="A13" s="8"/>
      <c r="B13" s="9"/>
      <c r="C13" s="46"/>
      <c r="E13" s="109"/>
      <c r="G13" s="99"/>
      <c r="I13" s="26"/>
      <c r="J13" s="22"/>
      <c r="M13" s="30"/>
      <c r="N13" s="30"/>
      <c r="O13" s="30"/>
      <c r="Q13" s="91"/>
    </row>
    <row r="14" spans="1:17" s="7" customFormat="1">
      <c r="A14" s="47" t="s">
        <v>27</v>
      </c>
      <c r="B14" s="48" t="s">
        <v>26</v>
      </c>
      <c r="C14" s="49"/>
      <c r="D14" s="49"/>
      <c r="E14" s="110"/>
      <c r="F14" s="49"/>
      <c r="G14" s="209"/>
      <c r="H14" s="80"/>
      <c r="I14" s="26"/>
      <c r="J14" s="22"/>
      <c r="K14" s="119"/>
      <c r="M14" s="30"/>
      <c r="N14" s="30"/>
      <c r="O14" s="30"/>
      <c r="Q14" s="84"/>
    </row>
    <row r="15" spans="1:17">
      <c r="A15" s="47" t="s">
        <v>32</v>
      </c>
      <c r="B15" s="48" t="s">
        <v>17</v>
      </c>
      <c r="C15" s="49"/>
      <c r="D15" s="49"/>
      <c r="E15" s="110"/>
      <c r="F15" s="49"/>
      <c r="G15" s="209"/>
      <c r="H15" s="80"/>
      <c r="K15" s="116"/>
      <c r="Q15" s="84"/>
    </row>
    <row r="16" spans="1:17">
      <c r="A16" s="47" t="s">
        <v>42</v>
      </c>
      <c r="B16" s="48" t="s">
        <v>18</v>
      </c>
      <c r="C16" s="49"/>
      <c r="D16" s="49"/>
      <c r="E16" s="110"/>
      <c r="F16" s="49"/>
      <c r="G16" s="209"/>
      <c r="H16" s="80"/>
      <c r="K16" s="116"/>
      <c r="Q16" s="84"/>
    </row>
    <row r="17" spans="1:17" s="79" customFormat="1" ht="31.5">
      <c r="A17" s="47" t="s">
        <v>0</v>
      </c>
      <c r="B17" s="48" t="s">
        <v>40</v>
      </c>
      <c r="C17" s="49"/>
      <c r="D17" s="49"/>
      <c r="E17" s="110"/>
      <c r="F17" s="49"/>
      <c r="G17" s="209"/>
      <c r="H17" s="80"/>
      <c r="Q17" s="84"/>
    </row>
    <row r="18" spans="1:17">
      <c r="A18" s="47"/>
      <c r="B18" s="48"/>
      <c r="C18" s="49"/>
      <c r="D18" s="49"/>
      <c r="E18" s="110"/>
      <c r="F18" s="49"/>
      <c r="G18" s="100"/>
      <c r="K18" s="116"/>
      <c r="Q18" s="84"/>
    </row>
    <row r="19" spans="1:17" ht="16.5" thickBot="1">
      <c r="A19" s="47"/>
      <c r="B19" s="50" t="s">
        <v>53</v>
      </c>
      <c r="C19" s="51"/>
      <c r="D19" s="51"/>
      <c r="E19" s="111"/>
      <c r="F19" s="51"/>
      <c r="G19" s="210"/>
      <c r="H19" s="80"/>
      <c r="K19" s="117"/>
      <c r="Q19" s="85"/>
    </row>
    <row r="23" spans="1:17" ht="15.95" customHeight="1">
      <c r="B23" s="53" t="s">
        <v>81</v>
      </c>
      <c r="E23" s="458" t="s">
        <v>143</v>
      </c>
      <c r="F23" s="458"/>
      <c r="G23" s="458"/>
    </row>
    <row r="24" spans="1:17" ht="84.75" customHeight="1">
      <c r="B24" s="53" t="s">
        <v>84</v>
      </c>
      <c r="E24" s="458" t="s">
        <v>241</v>
      </c>
      <c r="F24" s="458"/>
      <c r="G24" s="458"/>
    </row>
    <row r="26" spans="1:17">
      <c r="B26" s="53" t="s">
        <v>82</v>
      </c>
    </row>
    <row r="27" spans="1:17" ht="63.75">
      <c r="B27" s="53" t="s">
        <v>83</v>
      </c>
    </row>
    <row r="29" spans="1:17">
      <c r="K29" s="53"/>
    </row>
    <row r="30" spans="1:17">
      <c r="K30" s="53"/>
    </row>
    <row r="34" spans="1:17">
      <c r="B34" s="53" t="s">
        <v>166</v>
      </c>
    </row>
    <row r="35" spans="1:17" s="7" customFormat="1">
      <c r="A35" s="43"/>
      <c r="B35" s="53"/>
      <c r="C35" s="41"/>
      <c r="D35" s="41"/>
      <c r="E35" s="107"/>
      <c r="F35" s="41"/>
      <c r="G35" s="97"/>
      <c r="H35" s="38"/>
      <c r="I35" s="26"/>
      <c r="J35" s="22"/>
      <c r="M35" s="30"/>
      <c r="N35" s="30"/>
      <c r="O35" s="30"/>
      <c r="Q35" s="82"/>
    </row>
    <row r="36" spans="1:17">
      <c r="A36" s="11" t="s">
        <v>19</v>
      </c>
      <c r="B36" s="9" t="s">
        <v>16</v>
      </c>
      <c r="C36" s="46"/>
      <c r="D36" s="7"/>
      <c r="E36" s="109"/>
      <c r="F36" s="7"/>
      <c r="G36" s="99"/>
      <c r="H36" s="7"/>
      <c r="Q36" s="91"/>
    </row>
    <row r="37" spans="1:17" s="7" customFormat="1">
      <c r="A37" s="43"/>
      <c r="B37" s="55"/>
      <c r="C37" s="56"/>
      <c r="D37" s="56"/>
      <c r="E37" s="112"/>
      <c r="F37" s="56"/>
      <c r="G37" s="101"/>
      <c r="H37" s="38"/>
      <c r="I37" s="26"/>
      <c r="J37" s="22"/>
      <c r="M37" s="30"/>
      <c r="N37" s="30"/>
      <c r="O37" s="30"/>
      <c r="Q37" s="86"/>
    </row>
    <row r="38" spans="1:17" s="7" customFormat="1">
      <c r="A38" s="11" t="s">
        <v>27</v>
      </c>
      <c r="B38" s="9" t="s">
        <v>26</v>
      </c>
      <c r="C38" s="46"/>
      <c r="E38" s="109"/>
      <c r="G38" s="99"/>
      <c r="I38" s="26"/>
      <c r="J38" s="22"/>
      <c r="M38" s="30"/>
      <c r="N38" s="30"/>
      <c r="O38" s="30"/>
      <c r="Q38" s="91"/>
    </row>
    <row r="39" spans="1:17" s="7" customFormat="1">
      <c r="A39" s="8"/>
      <c r="B39" s="9"/>
      <c r="C39" s="207" t="s">
        <v>170</v>
      </c>
      <c r="D39" s="203"/>
      <c r="E39" s="208" t="s">
        <v>171</v>
      </c>
      <c r="F39" s="203"/>
      <c r="G39" s="208" t="s">
        <v>164</v>
      </c>
      <c r="I39" s="26"/>
      <c r="J39" s="22"/>
      <c r="M39" s="30"/>
      <c r="N39" s="30"/>
      <c r="O39" s="30"/>
      <c r="Q39" s="91"/>
    </row>
    <row r="40" spans="1:17" s="17" customFormat="1" ht="39">
      <c r="A40" s="12" t="s">
        <v>28</v>
      </c>
      <c r="B40" s="13" t="s">
        <v>139</v>
      </c>
      <c r="C40" s="46"/>
      <c r="D40" s="7"/>
      <c r="E40" s="109"/>
      <c r="F40" s="7"/>
      <c r="G40" s="99"/>
      <c r="H40" s="7"/>
      <c r="I40" s="27"/>
      <c r="J40" s="23"/>
      <c r="M40" s="31"/>
      <c r="N40" s="31"/>
      <c r="O40" s="31"/>
      <c r="Q40" s="91"/>
    </row>
    <row r="41" spans="1:17" s="7" customFormat="1">
      <c r="A41" s="18"/>
      <c r="B41" s="13"/>
      <c r="C41" s="57"/>
      <c r="D41" s="17"/>
      <c r="E41" s="113"/>
      <c r="F41" s="17"/>
      <c r="G41" s="102"/>
      <c r="H41" s="17"/>
      <c r="I41" s="26"/>
      <c r="J41" s="22"/>
      <c r="M41" s="30"/>
      <c r="N41" s="30"/>
      <c r="O41" s="30"/>
      <c r="Q41" s="92"/>
    </row>
    <row r="42" spans="1:17" s="7" customFormat="1">
      <c r="A42" s="8"/>
      <c r="B42" s="52" t="s">
        <v>22</v>
      </c>
      <c r="C42" s="214">
        <v>37</v>
      </c>
      <c r="D42" s="41"/>
      <c r="E42" s="230"/>
      <c r="F42" s="81"/>
      <c r="G42" s="213"/>
      <c r="H42" s="81"/>
      <c r="I42" s="26"/>
      <c r="J42" s="22"/>
      <c r="M42" s="30"/>
      <c r="N42" s="30"/>
      <c r="O42" s="30"/>
      <c r="Q42" s="82"/>
    </row>
    <row r="43" spans="1:17" s="7" customFormat="1">
      <c r="A43" s="8"/>
      <c r="B43" s="14"/>
      <c r="C43" s="46"/>
      <c r="E43" s="231"/>
      <c r="G43" s="99"/>
      <c r="I43" s="26"/>
      <c r="J43" s="22"/>
      <c r="M43" s="30"/>
      <c r="N43" s="30"/>
      <c r="O43" s="30"/>
      <c r="Q43" s="91"/>
    </row>
    <row r="44" spans="1:17" s="19" customFormat="1" ht="76.5">
      <c r="A44" s="12" t="s">
        <v>30</v>
      </c>
      <c r="B44" s="127" t="s">
        <v>140</v>
      </c>
      <c r="C44" s="46"/>
      <c r="D44" s="7"/>
      <c r="E44" s="231"/>
      <c r="F44" s="7"/>
      <c r="G44" s="99"/>
      <c r="H44" s="7"/>
      <c r="I44" s="28"/>
      <c r="J44" s="24"/>
      <c r="K44" s="52"/>
      <c r="M44" s="32"/>
      <c r="N44" s="32"/>
      <c r="O44" s="32"/>
      <c r="Q44" s="91"/>
    </row>
    <row r="45" spans="1:17" s="7" customFormat="1">
      <c r="A45" s="20"/>
      <c r="B45" s="52"/>
      <c r="C45" s="58"/>
      <c r="D45" s="19"/>
      <c r="E45" s="231"/>
      <c r="F45" s="19"/>
      <c r="G45" s="103"/>
      <c r="H45" s="19"/>
      <c r="I45" s="26"/>
      <c r="J45" s="22"/>
      <c r="M45" s="30"/>
      <c r="N45" s="30"/>
      <c r="O45" s="30"/>
      <c r="Q45" s="93"/>
    </row>
    <row r="46" spans="1:17" s="7" customFormat="1">
      <c r="A46" s="8"/>
      <c r="B46" s="52" t="s">
        <v>55</v>
      </c>
      <c r="C46" s="214">
        <v>1</v>
      </c>
      <c r="D46" s="41"/>
      <c r="E46" s="232"/>
      <c r="F46" s="81"/>
      <c r="G46" s="213"/>
      <c r="H46" s="81"/>
      <c r="I46" s="26"/>
      <c r="J46" s="22"/>
      <c r="M46" s="30"/>
      <c r="N46" s="30"/>
      <c r="O46" s="30"/>
      <c r="Q46" s="82"/>
    </row>
    <row r="47" spans="1:17" s="7" customFormat="1">
      <c r="A47" s="8"/>
      <c r="B47" s="52"/>
      <c r="C47" s="41"/>
      <c r="D47" s="41"/>
      <c r="E47" s="231"/>
      <c r="F47" s="41"/>
      <c r="G47" s="97"/>
      <c r="H47" s="41"/>
      <c r="I47" s="26"/>
      <c r="J47" s="22"/>
      <c r="M47" s="30"/>
      <c r="N47" s="30"/>
      <c r="O47" s="30"/>
      <c r="Q47" s="82"/>
    </row>
    <row r="48" spans="1:17" s="19" customFormat="1" ht="57" customHeight="1">
      <c r="A48" s="12" t="s">
        <v>31</v>
      </c>
      <c r="B48" s="52" t="s">
        <v>66</v>
      </c>
      <c r="C48" s="46"/>
      <c r="D48" s="7"/>
      <c r="E48" s="237"/>
      <c r="F48" s="7"/>
      <c r="G48" s="99"/>
      <c r="H48" s="7"/>
      <c r="I48" s="28"/>
      <c r="J48" s="24"/>
      <c r="M48" s="32"/>
      <c r="N48" s="32"/>
      <c r="O48" s="32"/>
      <c r="Q48" s="91"/>
    </row>
    <row r="49" spans="1:17" s="7" customFormat="1">
      <c r="A49" s="20"/>
      <c r="B49" s="52"/>
      <c r="C49" s="58"/>
      <c r="D49" s="19"/>
      <c r="E49" s="250"/>
      <c r="F49" s="19"/>
      <c r="G49" s="103"/>
      <c r="H49" s="19"/>
      <c r="I49" s="26"/>
      <c r="J49" s="22"/>
      <c r="M49" s="30"/>
      <c r="N49" s="30"/>
      <c r="O49" s="30"/>
      <c r="Q49" s="93"/>
    </row>
    <row r="50" spans="1:17" s="7" customFormat="1">
      <c r="A50" s="8"/>
      <c r="B50" s="52" t="s">
        <v>23</v>
      </c>
      <c r="C50" s="214">
        <v>1</v>
      </c>
      <c r="D50" s="41"/>
      <c r="E50" s="232"/>
      <c r="F50" s="81"/>
      <c r="G50" s="213"/>
      <c r="H50" s="81"/>
      <c r="I50" s="26"/>
      <c r="J50" s="22"/>
      <c r="M50" s="30"/>
      <c r="N50" s="30"/>
      <c r="O50" s="30"/>
      <c r="Q50" s="82"/>
    </row>
    <row r="51" spans="1:17" s="7" customFormat="1">
      <c r="A51" s="8"/>
      <c r="B51" s="52"/>
      <c r="C51" s="41"/>
      <c r="D51" s="41"/>
      <c r="E51" s="231"/>
      <c r="F51" s="41"/>
      <c r="G51" s="97"/>
      <c r="H51" s="41"/>
      <c r="I51" s="26"/>
      <c r="J51" s="22"/>
      <c r="M51" s="30"/>
      <c r="N51" s="30"/>
      <c r="O51" s="30"/>
      <c r="Q51" s="82"/>
    </row>
    <row r="52" spans="1:17" s="19" customFormat="1" ht="57.75" customHeight="1">
      <c r="A52" s="12" t="s">
        <v>56</v>
      </c>
      <c r="B52" s="52" t="s">
        <v>68</v>
      </c>
      <c r="C52" s="41"/>
      <c r="D52" s="41"/>
      <c r="E52" s="231"/>
      <c r="F52" s="41"/>
      <c r="G52" s="97"/>
      <c r="H52" s="7"/>
      <c r="I52" s="28"/>
      <c r="J52" s="24"/>
      <c r="M52" s="32"/>
      <c r="N52" s="32"/>
      <c r="O52" s="32"/>
      <c r="Q52" s="82"/>
    </row>
    <row r="53" spans="1:17" s="7" customFormat="1">
      <c r="A53" s="20"/>
      <c r="B53" s="52"/>
      <c r="C53" s="59"/>
      <c r="D53" s="59"/>
      <c r="E53" s="231"/>
      <c r="F53" s="59"/>
      <c r="G53" s="104"/>
      <c r="H53" s="19"/>
      <c r="I53" s="26"/>
      <c r="J53" s="22"/>
      <c r="M53" s="30"/>
      <c r="N53" s="30"/>
      <c r="O53" s="30"/>
      <c r="Q53" s="87"/>
    </row>
    <row r="54" spans="1:17" s="7" customFormat="1">
      <c r="A54" s="8"/>
      <c r="B54" s="52" t="s">
        <v>23</v>
      </c>
      <c r="C54" s="214">
        <f>INT(C42/20)+1</f>
        <v>2</v>
      </c>
      <c r="D54" s="41"/>
      <c r="E54" s="232"/>
      <c r="F54" s="81"/>
      <c r="G54" s="213"/>
      <c r="H54" s="81"/>
      <c r="I54" s="26"/>
      <c r="J54" s="22"/>
      <c r="M54" s="30"/>
      <c r="N54" s="30"/>
      <c r="O54" s="30"/>
      <c r="Q54" s="82"/>
    </row>
    <row r="55" spans="1:17" s="7" customFormat="1">
      <c r="A55" s="8"/>
      <c r="B55" s="52"/>
      <c r="C55" s="41"/>
      <c r="D55" s="41"/>
      <c r="E55" s="231"/>
      <c r="F55" s="41"/>
      <c r="G55" s="97"/>
      <c r="H55" s="41"/>
      <c r="I55" s="26"/>
      <c r="J55" s="22"/>
      <c r="M55" s="30"/>
      <c r="N55" s="30"/>
      <c r="O55" s="30"/>
      <c r="Q55" s="82"/>
    </row>
    <row r="56" spans="1:17" s="7" customFormat="1" ht="38.25">
      <c r="A56" s="12" t="s">
        <v>5</v>
      </c>
      <c r="B56" s="52" t="s">
        <v>6</v>
      </c>
      <c r="C56" s="41"/>
      <c r="D56" s="41"/>
      <c r="E56" s="231"/>
      <c r="F56" s="41"/>
      <c r="G56" s="97"/>
      <c r="I56" s="26"/>
      <c r="J56" s="22"/>
      <c r="M56" s="30"/>
      <c r="N56" s="30"/>
      <c r="O56" s="30"/>
      <c r="Q56" s="82"/>
    </row>
    <row r="57" spans="1:17" s="7" customFormat="1">
      <c r="A57" s="20"/>
      <c r="B57" s="52"/>
      <c r="C57" s="59"/>
      <c r="D57" s="59"/>
      <c r="E57" s="233"/>
      <c r="F57" s="59"/>
      <c r="G57" s="104"/>
      <c r="H57" s="19"/>
      <c r="I57" s="26"/>
      <c r="J57" s="22"/>
      <c r="M57" s="30"/>
      <c r="N57" s="30"/>
      <c r="O57" s="30"/>
      <c r="Q57" s="87"/>
    </row>
    <row r="58" spans="1:17" s="7" customFormat="1">
      <c r="A58" s="8"/>
      <c r="B58" s="52" t="s">
        <v>29</v>
      </c>
      <c r="C58" s="214">
        <v>1</v>
      </c>
      <c r="D58" s="41"/>
      <c r="E58" s="232"/>
      <c r="F58" s="81"/>
      <c r="G58" s="213"/>
      <c r="H58" s="81"/>
      <c r="I58" s="26"/>
      <c r="J58" s="22"/>
      <c r="M58" s="30"/>
      <c r="N58" s="30"/>
      <c r="O58" s="30"/>
      <c r="Q58" s="82"/>
    </row>
    <row r="59" spans="1:17" s="7" customFormat="1">
      <c r="A59" s="8"/>
      <c r="B59" s="52"/>
      <c r="C59" s="41"/>
      <c r="D59" s="41"/>
      <c r="E59" s="231"/>
      <c r="F59" s="41"/>
      <c r="G59" s="97"/>
      <c r="H59" s="41"/>
      <c r="I59" s="26"/>
      <c r="J59" s="22"/>
      <c r="M59" s="30"/>
      <c r="N59" s="30"/>
      <c r="O59" s="30"/>
      <c r="Q59" s="82"/>
    </row>
    <row r="60" spans="1:17" s="19" customFormat="1" ht="48" customHeight="1">
      <c r="A60" s="12" t="s">
        <v>75</v>
      </c>
      <c r="B60" s="52" t="s">
        <v>136</v>
      </c>
      <c r="C60" s="41"/>
      <c r="D60" s="41"/>
      <c r="E60" s="231"/>
      <c r="F60" s="41"/>
      <c r="G60" s="97"/>
      <c r="H60" s="7"/>
      <c r="I60" s="28"/>
      <c r="J60" s="24"/>
      <c r="M60" s="32"/>
      <c r="N60" s="32"/>
      <c r="O60" s="32"/>
      <c r="Q60" s="82"/>
    </row>
    <row r="61" spans="1:17" s="7" customFormat="1">
      <c r="A61" s="20"/>
      <c r="B61" s="52"/>
      <c r="C61" s="59"/>
      <c r="D61" s="59"/>
      <c r="E61" s="233"/>
      <c r="F61" s="59"/>
      <c r="G61" s="104"/>
      <c r="H61" s="19"/>
      <c r="I61" s="26"/>
      <c r="J61" s="22"/>
      <c r="M61" s="30"/>
      <c r="N61" s="30"/>
      <c r="O61" s="30"/>
      <c r="Q61" s="87"/>
    </row>
    <row r="62" spans="1:17" s="7" customFormat="1">
      <c r="A62" s="8"/>
      <c r="B62" s="52" t="s">
        <v>23</v>
      </c>
      <c r="C62" s="214">
        <v>1</v>
      </c>
      <c r="D62" s="41"/>
      <c r="E62" s="232"/>
      <c r="F62" s="81"/>
      <c r="G62" s="213"/>
      <c r="H62" s="81"/>
      <c r="I62" s="26"/>
      <c r="J62" s="22"/>
      <c r="M62" s="30"/>
      <c r="N62" s="30"/>
      <c r="O62" s="30"/>
      <c r="Q62" s="82"/>
    </row>
    <row r="63" spans="1:17" s="7" customFormat="1">
      <c r="A63" s="8"/>
      <c r="B63" s="52"/>
      <c r="C63" s="41"/>
      <c r="D63" s="41"/>
      <c r="E63" s="231"/>
      <c r="F63" s="81"/>
      <c r="G63" s="97"/>
      <c r="H63" s="81"/>
      <c r="I63" s="26"/>
      <c r="J63" s="22"/>
      <c r="M63" s="30"/>
      <c r="N63" s="30"/>
      <c r="O63" s="30"/>
      <c r="Q63" s="82"/>
    </row>
    <row r="64" spans="1:17" s="19" customFormat="1" ht="34.5" customHeight="1">
      <c r="A64" s="12" t="s">
        <v>137</v>
      </c>
      <c r="B64" s="52" t="s">
        <v>138</v>
      </c>
      <c r="C64" s="41"/>
      <c r="D64" s="41"/>
      <c r="E64" s="231"/>
      <c r="F64" s="41"/>
      <c r="G64" s="97"/>
      <c r="H64" s="7"/>
      <c r="I64" s="28"/>
      <c r="J64" s="24"/>
      <c r="M64" s="32"/>
      <c r="N64" s="32"/>
      <c r="O64" s="32"/>
      <c r="Q64" s="82"/>
    </row>
    <row r="65" spans="1:17" s="7" customFormat="1">
      <c r="A65" s="20"/>
      <c r="B65" s="52"/>
      <c r="C65" s="59"/>
      <c r="D65" s="59"/>
      <c r="E65" s="233"/>
      <c r="F65" s="59"/>
      <c r="G65" s="104"/>
      <c r="H65" s="19"/>
      <c r="I65" s="26"/>
      <c r="J65" s="22"/>
      <c r="M65" s="30"/>
      <c r="N65" s="30"/>
      <c r="O65" s="30"/>
      <c r="Q65" s="87"/>
    </row>
    <row r="66" spans="1:17" s="7" customFormat="1">
      <c r="A66" s="8"/>
      <c r="B66" s="52" t="s">
        <v>71</v>
      </c>
      <c r="C66" s="214">
        <v>37</v>
      </c>
      <c r="D66" s="41"/>
      <c r="E66" s="232"/>
      <c r="F66" s="81"/>
      <c r="G66" s="213"/>
      <c r="H66" s="81"/>
      <c r="I66" s="26"/>
      <c r="J66" s="22"/>
      <c r="M66" s="30"/>
      <c r="N66" s="30"/>
      <c r="O66" s="30"/>
      <c r="Q66" s="82"/>
    </row>
    <row r="67" spans="1:17" s="7" customFormat="1">
      <c r="A67" s="8"/>
      <c r="B67" s="52"/>
      <c r="C67" s="207" t="s">
        <v>170</v>
      </c>
      <c r="D67" s="203"/>
      <c r="E67" s="235" t="s">
        <v>171</v>
      </c>
      <c r="F67" s="203"/>
      <c r="G67" s="215" t="s">
        <v>164</v>
      </c>
      <c r="H67" s="41"/>
      <c r="I67" s="26"/>
      <c r="J67" s="22"/>
      <c r="M67" s="30"/>
      <c r="N67" s="30"/>
      <c r="O67" s="30"/>
      <c r="Q67" s="82"/>
    </row>
    <row r="68" spans="1:17" s="7" customFormat="1" ht="86.25" customHeight="1">
      <c r="A68" s="12" t="s">
        <v>54</v>
      </c>
      <c r="B68" s="52" t="s">
        <v>222</v>
      </c>
      <c r="C68" s="41"/>
      <c r="D68" s="41"/>
      <c r="E68" s="231"/>
      <c r="F68" s="41"/>
      <c r="G68" s="97"/>
      <c r="I68" s="26"/>
      <c r="J68" s="22"/>
      <c r="M68" s="30"/>
      <c r="N68" s="30"/>
      <c r="O68" s="30"/>
      <c r="Q68" s="82"/>
    </row>
    <row r="69" spans="1:17" s="7" customFormat="1" ht="44.25" customHeight="1">
      <c r="A69" s="8"/>
      <c r="B69" s="52" t="s">
        <v>116</v>
      </c>
      <c r="C69" s="214">
        <v>1</v>
      </c>
      <c r="D69" s="41"/>
      <c r="E69" s="232"/>
      <c r="F69" s="81"/>
      <c r="G69" s="213"/>
      <c r="H69" s="81"/>
      <c r="I69" s="26"/>
      <c r="J69" s="22"/>
      <c r="M69" s="30"/>
      <c r="N69" s="30"/>
      <c r="O69" s="30"/>
      <c r="Q69" s="82"/>
    </row>
    <row r="70" spans="1:17" s="7" customFormat="1" ht="15.95" customHeight="1">
      <c r="A70" s="8"/>
      <c r="B70" s="52"/>
      <c r="C70" s="41"/>
      <c r="D70" s="41"/>
      <c r="E70" s="231"/>
      <c r="F70" s="41"/>
      <c r="G70" s="97"/>
      <c r="I70" s="26"/>
      <c r="J70" s="22"/>
      <c r="M70" s="30"/>
      <c r="N70" s="30"/>
      <c r="O70" s="30"/>
      <c r="Q70" s="82"/>
    </row>
    <row r="71" spans="1:17" s="7" customFormat="1" ht="15.95" customHeight="1">
      <c r="A71" s="12" t="s">
        <v>61</v>
      </c>
      <c r="B71" s="52" t="s">
        <v>62</v>
      </c>
      <c r="C71" s="41"/>
      <c r="D71" s="41"/>
      <c r="E71" s="231"/>
      <c r="F71" s="41"/>
      <c r="G71" s="97"/>
      <c r="I71" s="26"/>
      <c r="J71" s="22"/>
      <c r="M71" s="30"/>
      <c r="N71" s="30"/>
      <c r="O71" s="30"/>
      <c r="Q71" s="82"/>
    </row>
    <row r="72" spans="1:17" s="7" customFormat="1" ht="15.95" customHeight="1">
      <c r="A72" s="20"/>
      <c r="B72" s="52"/>
      <c r="C72" s="59"/>
      <c r="D72" s="59"/>
      <c r="E72" s="233"/>
      <c r="F72" s="59"/>
      <c r="G72" s="104"/>
      <c r="H72" s="19"/>
      <c r="I72" s="26"/>
      <c r="J72" s="22"/>
      <c r="M72" s="30"/>
      <c r="N72" s="30"/>
      <c r="O72" s="30"/>
      <c r="Q72" s="87"/>
    </row>
    <row r="73" spans="1:17" s="7" customFormat="1" ht="15.95" customHeight="1">
      <c r="A73" s="8"/>
      <c r="B73" s="52" t="s">
        <v>41</v>
      </c>
      <c r="C73" s="214">
        <v>1.5</v>
      </c>
      <c r="D73" s="41"/>
      <c r="E73" s="232"/>
      <c r="F73" s="81"/>
      <c r="G73" s="213"/>
      <c r="H73" s="81"/>
      <c r="I73" s="26"/>
      <c r="J73" s="22"/>
      <c r="M73" s="30"/>
      <c r="N73" s="30"/>
      <c r="O73" s="30"/>
      <c r="Q73" s="82"/>
    </row>
    <row r="74" spans="1:17" s="7" customFormat="1" ht="15.95" customHeight="1">
      <c r="A74" s="8"/>
      <c r="B74" s="52"/>
      <c r="C74" s="41"/>
      <c r="D74" s="41"/>
      <c r="E74" s="231"/>
      <c r="F74" s="41"/>
      <c r="G74" s="97"/>
      <c r="H74" s="41"/>
      <c r="I74" s="26"/>
      <c r="J74" s="22"/>
      <c r="M74" s="30"/>
      <c r="N74" s="30"/>
      <c r="O74" s="30"/>
      <c r="Q74" s="82"/>
    </row>
    <row r="75" spans="1:17" s="7" customFormat="1" ht="89.25" customHeight="1">
      <c r="A75" s="12" t="s">
        <v>73</v>
      </c>
      <c r="B75" s="52" t="s">
        <v>135</v>
      </c>
      <c r="C75" s="41"/>
      <c r="D75" s="41"/>
      <c r="E75" s="231"/>
      <c r="F75" s="41"/>
      <c r="G75" s="97"/>
      <c r="I75" s="26"/>
      <c r="J75" s="22"/>
      <c r="M75" s="30"/>
      <c r="N75" s="30"/>
      <c r="O75" s="30"/>
      <c r="Q75" s="82"/>
    </row>
    <row r="76" spans="1:17" s="7" customFormat="1" ht="15.95" customHeight="1">
      <c r="A76" s="20"/>
      <c r="B76" s="52"/>
      <c r="C76" s="59"/>
      <c r="D76" s="59"/>
      <c r="E76" s="233"/>
      <c r="F76" s="59"/>
      <c r="G76" s="104"/>
      <c r="H76" s="19"/>
      <c r="I76" s="26"/>
      <c r="J76" s="22"/>
      <c r="M76" s="30"/>
      <c r="N76" s="30"/>
      <c r="O76" s="30"/>
      <c r="Q76" s="87"/>
    </row>
    <row r="77" spans="1:17" s="7" customFormat="1" ht="15.95" customHeight="1">
      <c r="A77" s="8"/>
      <c r="B77" s="52" t="s">
        <v>23</v>
      </c>
      <c r="C77" s="214">
        <v>1</v>
      </c>
      <c r="D77" s="41"/>
      <c r="E77" s="232"/>
      <c r="F77" s="81"/>
      <c r="G77" s="213"/>
      <c r="H77" s="81"/>
      <c r="I77" s="26"/>
      <c r="J77" s="22"/>
      <c r="M77" s="30"/>
      <c r="N77" s="30"/>
      <c r="O77" s="30"/>
      <c r="Q77" s="82"/>
    </row>
    <row r="78" spans="1:17" s="7" customFormat="1" ht="15.95" customHeight="1">
      <c r="A78" s="8"/>
      <c r="B78" s="52"/>
      <c r="C78" s="41"/>
      <c r="D78" s="41"/>
      <c r="E78" s="231"/>
      <c r="F78" s="41"/>
      <c r="G78" s="97"/>
      <c r="H78" s="41"/>
      <c r="I78" s="26"/>
      <c r="J78" s="22"/>
      <c r="M78" s="30"/>
      <c r="N78" s="30"/>
      <c r="O78" s="30"/>
      <c r="Q78" s="82"/>
    </row>
    <row r="79" spans="1:17" s="7" customFormat="1" ht="33.950000000000003" customHeight="1">
      <c r="A79" s="12" t="s">
        <v>74</v>
      </c>
      <c r="B79" s="52" t="s">
        <v>10</v>
      </c>
      <c r="C79" s="41"/>
      <c r="D79" s="41"/>
      <c r="E79" s="231"/>
      <c r="F79" s="41"/>
      <c r="G79" s="97"/>
      <c r="I79" s="26"/>
      <c r="J79" s="22"/>
      <c r="M79" s="30"/>
      <c r="N79" s="30"/>
      <c r="O79" s="30"/>
      <c r="Q79" s="82"/>
    </row>
    <row r="80" spans="1:17" s="7" customFormat="1" ht="15.95" customHeight="1">
      <c r="A80" s="20"/>
      <c r="B80" s="52"/>
      <c r="C80" s="59"/>
      <c r="D80" s="59"/>
      <c r="E80" s="233"/>
      <c r="F80" s="59"/>
      <c r="G80" s="104"/>
      <c r="H80" s="19"/>
      <c r="I80" s="26"/>
      <c r="J80" s="22"/>
      <c r="M80" s="30"/>
      <c r="N80" s="30"/>
      <c r="O80" s="30"/>
      <c r="Q80" s="87"/>
    </row>
    <row r="81" spans="1:17" s="7" customFormat="1" ht="15.95" customHeight="1">
      <c r="A81" s="8"/>
      <c r="B81" s="52" t="s">
        <v>23</v>
      </c>
      <c r="C81" s="214">
        <v>1</v>
      </c>
      <c r="D81" s="41"/>
      <c r="E81" s="232"/>
      <c r="F81" s="81"/>
      <c r="G81" s="213"/>
      <c r="H81" s="81"/>
      <c r="I81" s="26"/>
      <c r="J81" s="22"/>
      <c r="M81" s="30"/>
      <c r="N81" s="30"/>
      <c r="O81" s="30"/>
      <c r="Q81" s="82"/>
    </row>
    <row r="82" spans="1:17" s="7" customFormat="1" ht="15.95" customHeight="1">
      <c r="A82" s="8"/>
      <c r="B82" s="52"/>
      <c r="C82" s="41"/>
      <c r="D82" s="41"/>
      <c r="E82" s="231"/>
      <c r="F82" s="41"/>
      <c r="G82" s="97"/>
      <c r="I82" s="26"/>
      <c r="J82" s="22"/>
      <c r="M82" s="30"/>
      <c r="N82" s="30"/>
      <c r="O82" s="30"/>
      <c r="Q82" s="82"/>
    </row>
    <row r="83" spans="1:17" s="7" customFormat="1" ht="31.5">
      <c r="A83" s="11"/>
      <c r="B83" s="60" t="s">
        <v>43</v>
      </c>
      <c r="C83" s="49"/>
      <c r="D83" s="49"/>
      <c r="E83" s="236"/>
      <c r="F83" s="49"/>
      <c r="G83" s="209"/>
      <c r="H83" s="49"/>
      <c r="I83" s="118"/>
      <c r="J83" s="22"/>
      <c r="M83" s="30"/>
      <c r="N83" s="30"/>
      <c r="O83" s="30"/>
      <c r="Q83" s="84"/>
    </row>
    <row r="84" spans="1:17" s="7" customFormat="1">
      <c r="A84" s="11"/>
      <c r="B84" s="60"/>
      <c r="C84" s="49"/>
      <c r="D84" s="49"/>
      <c r="E84" s="236"/>
      <c r="F84" s="49"/>
      <c r="G84" s="100"/>
      <c r="H84" s="49"/>
      <c r="I84" s="26"/>
      <c r="J84" s="22"/>
      <c r="M84" s="30"/>
      <c r="N84" s="30"/>
      <c r="O84" s="30"/>
      <c r="Q84" s="84"/>
    </row>
    <row r="85" spans="1:17" s="7" customFormat="1">
      <c r="A85" s="11" t="s">
        <v>32</v>
      </c>
      <c r="B85" s="9" t="s">
        <v>17</v>
      </c>
      <c r="C85" s="46"/>
      <c r="E85" s="237"/>
      <c r="G85" s="99"/>
      <c r="I85" s="26"/>
      <c r="J85" s="22"/>
      <c r="M85" s="30"/>
      <c r="N85" s="30"/>
      <c r="O85" s="30"/>
      <c r="Q85" s="91"/>
    </row>
    <row r="86" spans="1:17">
      <c r="B86" s="52"/>
      <c r="E86" s="231"/>
      <c r="H86" s="61"/>
    </row>
    <row r="87" spans="1:17" ht="69" customHeight="1">
      <c r="A87" s="43" t="s">
        <v>34</v>
      </c>
      <c r="B87" s="52" t="s">
        <v>133</v>
      </c>
      <c r="E87" s="231"/>
      <c r="H87" s="61"/>
      <c r="J87" s="52"/>
    </row>
    <row r="88" spans="1:17">
      <c r="B88" s="52"/>
      <c r="E88" s="231"/>
      <c r="H88" s="61"/>
    </row>
    <row r="89" spans="1:17">
      <c r="B89" s="52" t="s">
        <v>25</v>
      </c>
      <c r="C89" s="214">
        <f>4.455/0.09</f>
        <v>49.5</v>
      </c>
      <c r="E89" s="232"/>
      <c r="F89" s="81"/>
      <c r="G89" s="213"/>
      <c r="H89" s="81"/>
    </row>
    <row r="90" spans="1:17">
      <c r="B90" s="52"/>
      <c r="E90" s="231"/>
      <c r="H90" s="61"/>
    </row>
    <row r="91" spans="1:17" ht="83.25" customHeight="1">
      <c r="A91" s="43" t="s">
        <v>35</v>
      </c>
      <c r="B91" s="52" t="s">
        <v>87</v>
      </c>
      <c r="E91" s="231"/>
      <c r="H91" s="61"/>
    </row>
    <row r="92" spans="1:17">
      <c r="B92" s="52"/>
      <c r="E92" s="231"/>
      <c r="H92" s="61"/>
    </row>
    <row r="93" spans="1:17">
      <c r="B93" s="52" t="s">
        <v>20</v>
      </c>
      <c r="C93" s="214">
        <f>C50*0.8</f>
        <v>0.8</v>
      </c>
      <c r="E93" s="232"/>
      <c r="F93" s="81"/>
      <c r="G93" s="213"/>
      <c r="H93" s="81"/>
      <c r="J93" s="36"/>
    </row>
    <row r="94" spans="1:17">
      <c r="B94" s="52"/>
      <c r="E94" s="231"/>
      <c r="H94" s="41"/>
      <c r="J94" s="36"/>
    </row>
    <row r="95" spans="1:17">
      <c r="B95" s="52"/>
      <c r="C95" s="207" t="s">
        <v>170</v>
      </c>
      <c r="D95" s="203"/>
      <c r="E95" s="235" t="s">
        <v>171</v>
      </c>
      <c r="F95" s="203"/>
      <c r="G95" s="208" t="s">
        <v>164</v>
      </c>
      <c r="H95" s="61"/>
    </row>
    <row r="96" spans="1:17" ht="69" customHeight="1">
      <c r="A96" s="43" t="s">
        <v>36</v>
      </c>
      <c r="B96" s="52" t="s">
        <v>88</v>
      </c>
      <c r="E96" s="231"/>
      <c r="H96" s="61"/>
    </row>
    <row r="97" spans="1:17">
      <c r="B97" s="52"/>
      <c r="E97" s="231"/>
      <c r="H97" s="61"/>
    </row>
    <row r="98" spans="1:17" ht="25.5">
      <c r="B98" s="52" t="s">
        <v>141</v>
      </c>
      <c r="E98" s="231"/>
      <c r="H98" s="61"/>
    </row>
    <row r="99" spans="1:17">
      <c r="B99" s="52" t="s">
        <v>20</v>
      </c>
      <c r="C99" s="214">
        <f>83.1*0.8</f>
        <v>66.48</v>
      </c>
      <c r="E99" s="230"/>
      <c r="F99" s="81"/>
      <c r="G99" s="213"/>
      <c r="H99" s="81"/>
    </row>
    <row r="100" spans="1:17">
      <c r="B100" s="52"/>
      <c r="E100" s="231"/>
      <c r="H100" s="41"/>
      <c r="J100" s="36"/>
    </row>
    <row r="101" spans="1:17">
      <c r="B101" s="52" t="s">
        <v>142</v>
      </c>
      <c r="E101" s="231"/>
      <c r="H101" s="61"/>
    </row>
    <row r="102" spans="1:17">
      <c r="B102" s="52" t="s">
        <v>20</v>
      </c>
      <c r="C102" s="214">
        <f>83.1*0.2</f>
        <v>16.62</v>
      </c>
      <c r="E102" s="232"/>
      <c r="F102" s="81"/>
      <c r="G102" s="213"/>
      <c r="H102" s="81"/>
    </row>
    <row r="103" spans="1:17" s="68" customFormat="1">
      <c r="A103" s="69"/>
      <c r="B103" s="70"/>
      <c r="C103" s="66"/>
      <c r="D103" s="66"/>
      <c r="E103" s="231"/>
      <c r="F103" s="66"/>
      <c r="G103" s="97"/>
      <c r="H103" s="67"/>
      <c r="Q103" s="88"/>
    </row>
    <row r="104" spans="1:17" s="64" customFormat="1" ht="42" customHeight="1">
      <c r="A104" s="43" t="s">
        <v>45</v>
      </c>
      <c r="B104" s="52" t="s">
        <v>38</v>
      </c>
      <c r="C104" s="41"/>
      <c r="D104" s="41"/>
      <c r="E104" s="231"/>
      <c r="F104" s="41"/>
      <c r="G104" s="97"/>
      <c r="H104" s="61"/>
      <c r="I104" s="62"/>
      <c r="J104" s="63"/>
      <c r="M104" s="65"/>
      <c r="N104" s="65"/>
      <c r="O104" s="65"/>
      <c r="Q104" s="82"/>
    </row>
    <row r="105" spans="1:17">
      <c r="B105" s="52"/>
      <c r="C105" s="59"/>
      <c r="D105" s="59"/>
      <c r="E105" s="231"/>
      <c r="F105" s="59"/>
      <c r="G105" s="104"/>
      <c r="H105" s="64"/>
      <c r="Q105" s="87"/>
    </row>
    <row r="106" spans="1:17">
      <c r="B106" s="52" t="s">
        <v>25</v>
      </c>
      <c r="C106" s="214">
        <f>C42*0.75</f>
        <v>27.75</v>
      </c>
      <c r="E106" s="232"/>
      <c r="G106" s="213"/>
      <c r="H106" s="41"/>
    </row>
    <row r="107" spans="1:17">
      <c r="B107" s="52"/>
      <c r="E107" s="231"/>
      <c r="H107" s="61"/>
    </row>
    <row r="108" spans="1:17" s="64" customFormat="1" ht="140.25">
      <c r="A108" s="43" t="s">
        <v>46</v>
      </c>
      <c r="B108" s="52" t="s">
        <v>90</v>
      </c>
      <c r="C108" s="41"/>
      <c r="D108" s="41"/>
      <c r="E108" s="231"/>
      <c r="F108" s="41"/>
      <c r="G108" s="97"/>
      <c r="H108" s="61"/>
      <c r="I108" s="62"/>
      <c r="J108" s="63"/>
      <c r="M108" s="65"/>
      <c r="N108" s="65"/>
      <c r="O108" s="65"/>
      <c r="Q108" s="82"/>
    </row>
    <row r="109" spans="1:17">
      <c r="A109" s="71"/>
      <c r="B109" s="52"/>
      <c r="C109" s="59"/>
      <c r="D109" s="59"/>
      <c r="E109" s="231"/>
      <c r="F109" s="59"/>
      <c r="G109" s="104"/>
      <c r="H109" s="64"/>
      <c r="Q109" s="87"/>
    </row>
    <row r="110" spans="1:17">
      <c r="B110" s="52" t="s">
        <v>20</v>
      </c>
      <c r="C110" s="214">
        <v>5.2</v>
      </c>
      <c r="E110" s="232"/>
      <c r="G110" s="213"/>
      <c r="H110" s="41"/>
    </row>
    <row r="111" spans="1:17">
      <c r="B111" s="52"/>
      <c r="C111" s="207" t="s">
        <v>170</v>
      </c>
      <c r="D111" s="203"/>
      <c r="E111" s="235" t="s">
        <v>171</v>
      </c>
      <c r="F111" s="203"/>
      <c r="G111" s="208" t="s">
        <v>164</v>
      </c>
      <c r="H111" s="61"/>
    </row>
    <row r="112" spans="1:17" s="64" customFormat="1" ht="114.75">
      <c r="A112" s="43" t="s">
        <v>47</v>
      </c>
      <c r="B112" s="52" t="s">
        <v>132</v>
      </c>
      <c r="C112" s="41"/>
      <c r="D112" s="41"/>
      <c r="E112" s="231"/>
      <c r="F112" s="41"/>
      <c r="G112" s="97"/>
      <c r="H112" s="61"/>
      <c r="I112" s="62"/>
      <c r="J112" s="63"/>
      <c r="M112" s="65"/>
      <c r="N112" s="65"/>
      <c r="O112" s="65"/>
      <c r="Q112" s="82"/>
    </row>
    <row r="113" spans="1:17">
      <c r="A113" s="71"/>
      <c r="B113" s="52"/>
      <c r="C113" s="59"/>
      <c r="D113" s="59"/>
      <c r="E113" s="231"/>
      <c r="F113" s="59"/>
      <c r="G113" s="104"/>
      <c r="H113" s="64"/>
      <c r="Q113" s="87"/>
    </row>
    <row r="114" spans="1:17">
      <c r="B114" s="52" t="s">
        <v>20</v>
      </c>
      <c r="C114" s="214">
        <v>17.899999999999999</v>
      </c>
      <c r="E114" s="232"/>
      <c r="G114" s="213"/>
      <c r="H114" s="41"/>
    </row>
    <row r="115" spans="1:17">
      <c r="B115" s="52"/>
      <c r="E115" s="231"/>
      <c r="H115" s="61"/>
    </row>
    <row r="116" spans="1:17" ht="89.25">
      <c r="A116" s="43" t="s">
        <v>48</v>
      </c>
      <c r="B116" s="52" t="s">
        <v>91</v>
      </c>
      <c r="E116" s="231"/>
      <c r="H116" s="61"/>
    </row>
    <row r="117" spans="1:17">
      <c r="A117" s="71"/>
      <c r="B117" s="52"/>
      <c r="E117" s="231"/>
      <c r="H117" s="61"/>
    </row>
    <row r="118" spans="1:17">
      <c r="B118" s="52" t="s">
        <v>20</v>
      </c>
      <c r="C118" s="214">
        <f>44.3*1</f>
        <v>44.3</v>
      </c>
      <c r="E118" s="232"/>
      <c r="G118" s="213"/>
      <c r="H118" s="41"/>
    </row>
    <row r="119" spans="1:17">
      <c r="B119" s="52"/>
      <c r="E119" s="231"/>
      <c r="H119" s="61"/>
      <c r="I119" s="38"/>
      <c r="J119" s="38"/>
      <c r="M119" s="38"/>
      <c r="N119" s="38"/>
      <c r="O119" s="38"/>
    </row>
    <row r="120" spans="1:17" ht="114.75">
      <c r="A120" s="43" t="s">
        <v>50</v>
      </c>
      <c r="B120" s="52" t="s">
        <v>177</v>
      </c>
      <c r="E120" s="231"/>
      <c r="H120" s="61"/>
      <c r="K120" s="52"/>
    </row>
    <row r="121" spans="1:17">
      <c r="A121" s="71"/>
      <c r="B121" s="52"/>
      <c r="E121" s="231"/>
      <c r="H121" s="61"/>
    </row>
    <row r="122" spans="1:17">
      <c r="B122" s="52" t="s">
        <v>20</v>
      </c>
      <c r="C122" s="214">
        <v>13.9</v>
      </c>
      <c r="E122" s="232"/>
      <c r="G122" s="213"/>
      <c r="H122" s="41"/>
    </row>
    <row r="123" spans="1:17">
      <c r="B123" s="52"/>
      <c r="C123" s="207" t="s">
        <v>170</v>
      </c>
      <c r="D123" s="203"/>
      <c r="E123" s="235" t="s">
        <v>171</v>
      </c>
      <c r="F123" s="203"/>
      <c r="G123" s="208" t="s">
        <v>164</v>
      </c>
      <c r="H123" s="61"/>
    </row>
    <row r="124" spans="1:17" ht="331.5" customHeight="1">
      <c r="A124" s="43" t="s">
        <v>51</v>
      </c>
      <c r="B124" s="16" t="s">
        <v>168</v>
      </c>
      <c r="E124" s="231"/>
      <c r="H124" s="61"/>
    </row>
    <row r="125" spans="1:17">
      <c r="A125" s="71"/>
      <c r="B125" s="72"/>
      <c r="E125" s="231"/>
      <c r="H125" s="61"/>
    </row>
    <row r="126" spans="1:17">
      <c r="B126" s="52" t="s">
        <v>25</v>
      </c>
      <c r="C126" s="214">
        <v>49.5</v>
      </c>
      <c r="E126" s="230"/>
      <c r="G126" s="213"/>
      <c r="H126" s="41"/>
    </row>
    <row r="127" spans="1:17">
      <c r="B127" s="52"/>
      <c r="E127" s="231"/>
      <c r="H127" s="41"/>
    </row>
    <row r="128" spans="1:17" ht="55.7" customHeight="1">
      <c r="A128" s="43" t="s">
        <v>67</v>
      </c>
      <c r="B128" s="16" t="s">
        <v>249</v>
      </c>
      <c r="E128" s="231"/>
      <c r="H128" s="61"/>
    </row>
    <row r="129" spans="1:17">
      <c r="A129" s="71"/>
      <c r="B129" s="72"/>
      <c r="E129" s="231"/>
      <c r="H129" s="61"/>
    </row>
    <row r="130" spans="1:17">
      <c r="B130" s="52" t="s">
        <v>25</v>
      </c>
      <c r="C130" s="214">
        <v>53.5</v>
      </c>
      <c r="E130" s="232"/>
      <c r="G130" s="213"/>
      <c r="H130" s="41"/>
    </row>
    <row r="131" spans="1:17">
      <c r="B131" s="52"/>
      <c r="E131" s="231"/>
      <c r="H131" s="61"/>
    </row>
    <row r="132" spans="1:17" ht="116.25">
      <c r="A132" s="43" t="s">
        <v>57</v>
      </c>
      <c r="B132" s="52" t="s">
        <v>96</v>
      </c>
      <c r="E132" s="231"/>
      <c r="H132" s="61"/>
    </row>
    <row r="133" spans="1:17">
      <c r="B133" s="52"/>
      <c r="E133" s="231"/>
      <c r="H133" s="61"/>
    </row>
    <row r="134" spans="1:17">
      <c r="B134" s="52" t="s">
        <v>20</v>
      </c>
      <c r="C134" s="214">
        <f>(83.1)*1.3</f>
        <v>108.03</v>
      </c>
      <c r="E134" s="232"/>
      <c r="G134" s="213"/>
      <c r="H134" s="41"/>
    </row>
    <row r="135" spans="1:17">
      <c r="B135" s="52"/>
      <c r="E135" s="231"/>
      <c r="H135" s="61"/>
    </row>
    <row r="136" spans="1:17">
      <c r="B136" s="52"/>
      <c r="C136" s="207" t="s">
        <v>170</v>
      </c>
      <c r="D136" s="203"/>
      <c r="E136" s="235" t="s">
        <v>171</v>
      </c>
      <c r="F136" s="203"/>
      <c r="G136" s="208" t="s">
        <v>164</v>
      </c>
      <c r="H136" s="61"/>
    </row>
    <row r="137" spans="1:17" ht="55.7" customHeight="1">
      <c r="A137" s="43" t="s">
        <v>64</v>
      </c>
      <c r="B137" s="52" t="s">
        <v>97</v>
      </c>
      <c r="E137" s="231"/>
      <c r="H137" s="61"/>
    </row>
    <row r="138" spans="1:17">
      <c r="B138" s="52"/>
      <c r="E138" s="231"/>
      <c r="H138" s="61"/>
    </row>
    <row r="139" spans="1:17">
      <c r="B139" s="52" t="s">
        <v>41</v>
      </c>
      <c r="C139" s="214">
        <v>1</v>
      </c>
      <c r="E139" s="232"/>
      <c r="G139" s="213"/>
      <c r="H139" s="41"/>
    </row>
    <row r="140" spans="1:17">
      <c r="B140" s="52"/>
      <c r="E140" s="231"/>
      <c r="H140" s="61"/>
    </row>
    <row r="141" spans="1:17" s="64" customFormat="1" ht="63.75">
      <c r="A141" s="43" t="s">
        <v>65</v>
      </c>
      <c r="B141" s="52" t="s">
        <v>7</v>
      </c>
      <c r="C141" s="41"/>
      <c r="D141" s="41"/>
      <c r="E141" s="231"/>
      <c r="F141" s="41"/>
      <c r="G141" s="97"/>
      <c r="H141" s="61"/>
      <c r="I141" s="62"/>
      <c r="J141" s="63"/>
      <c r="M141" s="65"/>
      <c r="N141" s="65"/>
      <c r="O141" s="65"/>
      <c r="Q141" s="82"/>
    </row>
    <row r="142" spans="1:17">
      <c r="B142" s="52"/>
      <c r="C142" s="59"/>
      <c r="D142" s="59"/>
      <c r="E142" s="233"/>
      <c r="F142" s="59"/>
      <c r="G142" s="104"/>
      <c r="H142" s="64"/>
      <c r="Q142" s="87"/>
    </row>
    <row r="143" spans="1:17">
      <c r="B143" s="52" t="s">
        <v>39</v>
      </c>
      <c r="E143" s="231"/>
      <c r="G143" s="213"/>
      <c r="H143" s="41"/>
    </row>
    <row r="144" spans="1:17">
      <c r="B144" s="52"/>
      <c r="E144" s="231"/>
      <c r="H144" s="61"/>
    </row>
    <row r="145" spans="1:17" s="7" customFormat="1">
      <c r="A145" s="43"/>
      <c r="B145" s="60" t="s">
        <v>21</v>
      </c>
      <c r="C145" s="56"/>
      <c r="D145" s="56"/>
      <c r="E145" s="239"/>
      <c r="F145" s="56"/>
      <c r="G145" s="209"/>
      <c r="H145" s="49"/>
      <c r="I145" s="26"/>
      <c r="J145" s="22"/>
      <c r="M145" s="30"/>
      <c r="N145" s="30"/>
      <c r="O145" s="30"/>
      <c r="Q145" s="86"/>
    </row>
    <row r="146" spans="1:17" ht="15.95" customHeight="1">
      <c r="A146" s="47"/>
      <c r="B146" s="9"/>
      <c r="C146" s="56"/>
      <c r="D146" s="56"/>
      <c r="E146" s="239"/>
      <c r="F146" s="56"/>
      <c r="G146" s="100"/>
      <c r="Q146" s="86"/>
    </row>
    <row r="147" spans="1:17">
      <c r="A147" s="11" t="s">
        <v>42</v>
      </c>
      <c r="B147" s="9" t="s">
        <v>18</v>
      </c>
      <c r="C147" s="46"/>
      <c r="D147" s="7"/>
      <c r="E147" s="237"/>
      <c r="F147" s="7"/>
      <c r="G147" s="99"/>
      <c r="H147" s="7"/>
      <c r="Q147" s="91"/>
    </row>
    <row r="148" spans="1:17">
      <c r="A148" s="11"/>
      <c r="B148" s="9"/>
      <c r="C148" s="46"/>
      <c r="D148" s="7"/>
      <c r="E148" s="237"/>
      <c r="F148" s="7"/>
      <c r="G148" s="99"/>
      <c r="H148" s="7"/>
      <c r="Q148" s="91"/>
    </row>
    <row r="149" spans="1:17" ht="43.5" customHeight="1">
      <c r="A149" s="43" t="s">
        <v>112</v>
      </c>
      <c r="B149" s="73" t="s">
        <v>98</v>
      </c>
      <c r="E149" s="231"/>
      <c r="H149" s="61"/>
    </row>
    <row r="150" spans="1:17">
      <c r="B150" s="52"/>
      <c r="E150" s="231"/>
      <c r="H150" s="61"/>
    </row>
    <row r="151" spans="1:17">
      <c r="B151" s="52" t="s">
        <v>22</v>
      </c>
      <c r="C151" s="214">
        <v>36</v>
      </c>
      <c r="E151" s="232"/>
      <c r="G151" s="213"/>
      <c r="H151" s="41"/>
    </row>
    <row r="152" spans="1:17">
      <c r="B152" s="52"/>
      <c r="C152" s="120"/>
      <c r="E152" s="231"/>
      <c r="H152" s="41"/>
    </row>
    <row r="153" spans="1:17" ht="97.5" customHeight="1">
      <c r="A153" s="43" t="s">
        <v>78</v>
      </c>
      <c r="B153" s="73" t="s">
        <v>99</v>
      </c>
      <c r="E153" s="231"/>
      <c r="H153" s="61"/>
    </row>
    <row r="154" spans="1:17">
      <c r="B154" s="52"/>
      <c r="E154" s="231"/>
      <c r="H154" s="61"/>
    </row>
    <row r="155" spans="1:17">
      <c r="B155" s="52" t="s">
        <v>22</v>
      </c>
      <c r="C155" s="214">
        <v>36</v>
      </c>
      <c r="E155" s="230"/>
      <c r="G155" s="213"/>
      <c r="H155" s="41"/>
    </row>
    <row r="156" spans="1:17" s="79" customFormat="1">
      <c r="A156" s="43"/>
      <c r="B156" s="52"/>
      <c r="C156" s="124"/>
      <c r="D156" s="41"/>
      <c r="E156" s="231"/>
      <c r="F156" s="41"/>
      <c r="G156" s="97"/>
      <c r="H156" s="41"/>
      <c r="Q156" s="95"/>
    </row>
    <row r="157" spans="1:17" s="79" customFormat="1" ht="114" customHeight="1">
      <c r="A157" s="43" t="s">
        <v>101</v>
      </c>
      <c r="B157" s="10" t="s">
        <v>195</v>
      </c>
      <c r="C157" s="41"/>
      <c r="D157" s="41"/>
      <c r="E157" s="231"/>
      <c r="F157" s="41"/>
      <c r="G157" s="97"/>
      <c r="H157" s="125"/>
      <c r="K157" s="10"/>
      <c r="Q157" s="82"/>
    </row>
    <row r="158" spans="1:17" s="79" customFormat="1">
      <c r="A158" s="43"/>
      <c r="B158" s="10"/>
      <c r="C158" s="41"/>
      <c r="D158" s="41"/>
      <c r="E158" s="231"/>
      <c r="F158" s="41"/>
      <c r="G158" s="97"/>
      <c r="H158" s="125"/>
      <c r="K158" s="10"/>
      <c r="Q158" s="82"/>
    </row>
    <row r="159" spans="1:17" s="79" customFormat="1">
      <c r="A159" s="43"/>
      <c r="B159" s="52" t="s">
        <v>117</v>
      </c>
      <c r="C159" s="216">
        <v>2</v>
      </c>
      <c r="D159" s="41"/>
      <c r="E159" s="232"/>
      <c r="F159" s="41"/>
      <c r="G159" s="213"/>
      <c r="H159" s="41"/>
      <c r="Q159" s="95"/>
    </row>
    <row r="160" spans="1:17" s="79" customFormat="1">
      <c r="A160" s="43"/>
      <c r="B160" s="52"/>
      <c r="C160" s="124"/>
      <c r="D160" s="41"/>
      <c r="E160" s="231"/>
      <c r="F160" s="41"/>
      <c r="G160" s="97"/>
      <c r="H160" s="41"/>
      <c r="Q160" s="95"/>
    </row>
    <row r="161" spans="1:17" s="79" customFormat="1">
      <c r="A161" s="43"/>
      <c r="B161" s="52"/>
      <c r="C161" s="207" t="s">
        <v>170</v>
      </c>
      <c r="D161" s="203"/>
      <c r="E161" s="235" t="s">
        <v>171</v>
      </c>
      <c r="F161" s="203"/>
      <c r="G161" s="208" t="s">
        <v>164</v>
      </c>
      <c r="H161" s="41"/>
      <c r="Q161" s="95"/>
    </row>
    <row r="162" spans="1:17" s="79" customFormat="1" ht="165.75">
      <c r="A162" s="43" t="s">
        <v>79</v>
      </c>
      <c r="B162" s="10" t="s">
        <v>194</v>
      </c>
      <c r="C162" s="41"/>
      <c r="D162" s="41"/>
      <c r="E162" s="231"/>
      <c r="F162" s="41"/>
      <c r="G162" s="97"/>
      <c r="H162" s="125"/>
      <c r="K162" s="10"/>
      <c r="Q162" s="82"/>
    </row>
    <row r="163" spans="1:17" s="79" customFormat="1">
      <c r="A163" s="43"/>
      <c r="B163" s="52"/>
      <c r="C163" s="41"/>
      <c r="D163" s="41"/>
      <c r="E163" s="231"/>
      <c r="F163" s="41"/>
      <c r="G163" s="97"/>
      <c r="H163" s="125"/>
      <c r="Q163" s="82"/>
    </row>
    <row r="164" spans="1:17" s="79" customFormat="1">
      <c r="A164" s="43"/>
      <c r="B164" s="52" t="s">
        <v>117</v>
      </c>
      <c r="C164" s="216">
        <f>C159</f>
        <v>2</v>
      </c>
      <c r="D164" s="41"/>
      <c r="E164" s="232"/>
      <c r="F164" s="41"/>
      <c r="G164" s="213"/>
      <c r="H164" s="41"/>
      <c r="Q164" s="95"/>
    </row>
    <row r="165" spans="1:17" s="5" customFormat="1">
      <c r="A165" s="6"/>
      <c r="B165" s="10"/>
      <c r="C165" s="4"/>
      <c r="D165" s="2"/>
      <c r="E165" s="231"/>
      <c r="F165" s="2"/>
      <c r="G165" s="105"/>
      <c r="H165" s="2"/>
      <c r="Q165" s="89"/>
    </row>
    <row r="166" spans="1:17" s="5" customFormat="1" ht="191.25">
      <c r="A166" s="6" t="s">
        <v>109</v>
      </c>
      <c r="B166" s="126" t="s">
        <v>167</v>
      </c>
      <c r="C166" s="2"/>
      <c r="D166" s="2"/>
      <c r="E166" s="231"/>
      <c r="F166" s="2"/>
      <c r="G166" s="105"/>
      <c r="H166" s="15"/>
      <c r="K166" s="10"/>
      <c r="Q166" s="89"/>
    </row>
    <row r="167" spans="1:17" s="5" customFormat="1">
      <c r="A167" s="6"/>
      <c r="B167" s="10"/>
      <c r="C167" s="2"/>
      <c r="D167" s="2"/>
      <c r="E167" s="231"/>
      <c r="F167" s="2"/>
      <c r="G167" s="105"/>
      <c r="H167" s="15"/>
      <c r="Q167" s="89"/>
    </row>
    <row r="168" spans="1:17" s="5" customFormat="1">
      <c r="A168" s="6"/>
      <c r="B168" s="10" t="s">
        <v>23</v>
      </c>
      <c r="C168" s="217">
        <v>3</v>
      </c>
      <c r="D168" s="2"/>
      <c r="E168" s="232"/>
      <c r="F168" s="2"/>
      <c r="G168" s="218"/>
      <c r="H168" s="2"/>
      <c r="J168" s="122"/>
      <c r="Q168" s="89"/>
    </row>
    <row r="169" spans="1:17">
      <c r="B169" s="52"/>
      <c r="E169" s="231"/>
      <c r="H169" s="61"/>
      <c r="I169" s="38"/>
      <c r="J169" s="38"/>
      <c r="M169" s="38"/>
      <c r="N169" s="38"/>
      <c r="O169" s="38"/>
    </row>
    <row r="170" spans="1:17" ht="40.5" customHeight="1">
      <c r="A170" s="43" t="s">
        <v>1</v>
      </c>
      <c r="B170" s="52" t="s">
        <v>104</v>
      </c>
      <c r="E170" s="231"/>
      <c r="H170" s="61"/>
    </row>
    <row r="171" spans="1:17">
      <c r="B171" s="52"/>
      <c r="E171" s="231"/>
      <c r="H171" s="61"/>
    </row>
    <row r="172" spans="1:17">
      <c r="B172" s="52" t="s">
        <v>23</v>
      </c>
      <c r="C172" s="214">
        <v>2</v>
      </c>
      <c r="E172" s="232"/>
      <c r="G172" s="213"/>
      <c r="H172" s="41"/>
      <c r="Q172" s="95"/>
    </row>
    <row r="173" spans="1:17">
      <c r="B173" s="52"/>
      <c r="E173" s="231"/>
      <c r="H173" s="41"/>
      <c r="Q173" s="95"/>
    </row>
    <row r="174" spans="1:17" ht="30.75" customHeight="1">
      <c r="A174" s="43" t="s">
        <v>105</v>
      </c>
      <c r="B174" s="52" t="s">
        <v>103</v>
      </c>
      <c r="E174" s="231"/>
      <c r="H174" s="61"/>
    </row>
    <row r="175" spans="1:17">
      <c r="B175" s="52"/>
      <c r="E175" s="231"/>
      <c r="H175" s="49"/>
    </row>
    <row r="176" spans="1:17">
      <c r="B176" s="52" t="s">
        <v>22</v>
      </c>
      <c r="C176" s="214">
        <v>36</v>
      </c>
      <c r="E176" s="230"/>
      <c r="G176" s="213"/>
      <c r="H176" s="41"/>
    </row>
    <row r="177" spans="1:17">
      <c r="B177" s="52"/>
      <c r="E177" s="231"/>
      <c r="H177" s="41"/>
      <c r="Q177" s="95"/>
    </row>
    <row r="178" spans="1:17" ht="42.75" customHeight="1">
      <c r="A178" s="43" t="s">
        <v>2</v>
      </c>
      <c r="B178" s="52" t="s">
        <v>102</v>
      </c>
      <c r="E178" s="231"/>
      <c r="H178" s="61"/>
    </row>
    <row r="179" spans="1:17">
      <c r="B179" s="52"/>
      <c r="E179" s="231"/>
      <c r="H179" s="49"/>
    </row>
    <row r="180" spans="1:17">
      <c r="B180" s="52" t="s">
        <v>22</v>
      </c>
      <c r="C180" s="214">
        <v>36</v>
      </c>
      <c r="E180" s="230"/>
      <c r="G180" s="213"/>
      <c r="H180" s="41"/>
    </row>
    <row r="181" spans="1:17">
      <c r="B181" s="52"/>
      <c r="C181" s="207" t="s">
        <v>170</v>
      </c>
      <c r="D181" s="203"/>
      <c r="E181" s="235" t="s">
        <v>171</v>
      </c>
      <c r="F181" s="203"/>
      <c r="G181" s="208" t="s">
        <v>164</v>
      </c>
      <c r="H181" s="41"/>
    </row>
    <row r="182" spans="1:17" ht="22.5" customHeight="1">
      <c r="A182" s="43" t="s">
        <v>110</v>
      </c>
      <c r="B182" s="52" t="s">
        <v>106</v>
      </c>
      <c r="E182" s="231"/>
      <c r="H182" s="61"/>
    </row>
    <row r="183" spans="1:17">
      <c r="B183" s="52"/>
      <c r="E183" s="231"/>
      <c r="H183" s="49"/>
    </row>
    <row r="184" spans="1:17">
      <c r="B184" s="52" t="s">
        <v>22</v>
      </c>
      <c r="C184" s="214">
        <v>36</v>
      </c>
      <c r="E184" s="230"/>
      <c r="G184" s="213"/>
      <c r="H184" s="41"/>
    </row>
    <row r="185" spans="1:17">
      <c r="B185" s="52"/>
      <c r="E185" s="231"/>
      <c r="H185" s="61"/>
    </row>
    <row r="186" spans="1:17" s="64" customFormat="1" ht="63.75">
      <c r="A186" s="43" t="s">
        <v>111</v>
      </c>
      <c r="B186" s="52" t="s">
        <v>9</v>
      </c>
      <c r="C186" s="41"/>
      <c r="D186" s="41"/>
      <c r="E186" s="231"/>
      <c r="F186" s="41"/>
      <c r="G186" s="97"/>
      <c r="H186" s="61"/>
      <c r="I186" s="62"/>
      <c r="J186" s="63"/>
      <c r="M186" s="65"/>
      <c r="N186" s="65"/>
      <c r="O186" s="65"/>
      <c r="Q186" s="82"/>
    </row>
    <row r="187" spans="1:17">
      <c r="B187" s="52"/>
      <c r="C187" s="59"/>
      <c r="D187" s="59"/>
      <c r="E187" s="233"/>
      <c r="F187" s="59"/>
      <c r="G187" s="104"/>
      <c r="H187" s="64"/>
      <c r="Q187" s="87"/>
    </row>
    <row r="188" spans="1:17">
      <c r="B188" s="52" t="s">
        <v>39</v>
      </c>
      <c r="E188" s="231"/>
      <c r="G188" s="213"/>
      <c r="H188" s="41"/>
      <c r="J188" s="97"/>
      <c r="K188" s="97"/>
    </row>
    <row r="189" spans="1:17">
      <c r="B189" s="52"/>
      <c r="E189" s="231"/>
      <c r="H189" s="61"/>
    </row>
    <row r="190" spans="1:17">
      <c r="B190" s="48" t="s">
        <v>24</v>
      </c>
      <c r="C190" s="56"/>
      <c r="D190" s="56"/>
      <c r="E190" s="239"/>
      <c r="F190" s="56"/>
      <c r="G190" s="209"/>
      <c r="Q190" s="86"/>
    </row>
    <row r="191" spans="1:17">
      <c r="B191" s="48"/>
      <c r="C191" s="56"/>
      <c r="D191" s="56"/>
      <c r="E191" s="239"/>
      <c r="F191" s="56"/>
      <c r="G191" s="100"/>
      <c r="Q191" s="86"/>
    </row>
    <row r="192" spans="1:17">
      <c r="A192" s="11" t="s">
        <v>0</v>
      </c>
      <c r="B192" s="9" t="s">
        <v>40</v>
      </c>
      <c r="C192" s="46"/>
      <c r="D192" s="7"/>
      <c r="E192" s="237"/>
      <c r="F192" s="7"/>
      <c r="G192" s="99"/>
      <c r="H192" s="41"/>
      <c r="Q192" s="91"/>
    </row>
    <row r="193" spans="1:17">
      <c r="E193" s="231"/>
      <c r="H193" s="61"/>
    </row>
    <row r="194" spans="1:17" ht="51">
      <c r="A194" s="43" t="s">
        <v>3</v>
      </c>
      <c r="B194" s="53" t="s">
        <v>72</v>
      </c>
      <c r="E194" s="231"/>
      <c r="H194" s="61"/>
    </row>
    <row r="195" spans="1:17">
      <c r="E195" s="231"/>
      <c r="H195" s="61"/>
    </row>
    <row r="196" spans="1:17">
      <c r="B196" s="52" t="s">
        <v>23</v>
      </c>
      <c r="C196" s="214">
        <v>1</v>
      </c>
      <c r="E196" s="230"/>
      <c r="G196" s="213"/>
      <c r="H196" s="41"/>
    </row>
    <row r="197" spans="1:17">
      <c r="H197" s="61"/>
    </row>
    <row r="198" spans="1:17">
      <c r="A198" s="47"/>
      <c r="B198" s="9" t="s">
        <v>44</v>
      </c>
      <c r="C198" s="56"/>
      <c r="D198" s="56"/>
      <c r="E198" s="112"/>
      <c r="F198" s="56"/>
      <c r="G198" s="209"/>
      <c r="Q198" s="86"/>
    </row>
    <row r="199" spans="1:17">
      <c r="H199" s="61"/>
    </row>
    <row r="200" spans="1:17">
      <c r="H200" s="61"/>
    </row>
  </sheetData>
  <sheetProtection selectLockedCells="1"/>
  <mergeCells count="2">
    <mergeCell ref="E23:G23"/>
    <mergeCell ref="E24:G24"/>
  </mergeCells>
  <conditionalFormatting sqref="G14:G18 C42:G66 C69:G93 C99:G110 C114:G122 C124:G135 C139:G159 C164:G180 C182:G184 C188:G190">
    <cfRule type="cellIs" dxfId="10" priority="4" stopIfTrue="1" operator="greaterThan">
      <formula>0</formula>
    </cfRule>
  </conditionalFormatting>
  <pageMargins left="1.1811023622047245" right="0.15748031496062992" top="0.59055118110236227" bottom="0.59055118110236227" header="0.39370078740157483" footer="0.39370078740157483"/>
  <pageSetup paperSize="9" orientation="portrait" useFirstPageNumber="1" r:id="rId1"/>
  <headerFooter alignWithMargins="0">
    <oddHeader>&amp;R&amp;"Arial,Navadno"&amp;9KANAL PV6</oddHeader>
    <oddFooter>&amp;C&amp;"Arial,Navadno"&amp;10&amp;P</oddFooter>
  </headerFooter>
  <rowBreaks count="8" manualBreakCount="8">
    <brk id="34" max="6" man="1"/>
    <brk id="66" max="6" man="1"/>
    <brk id="94" max="6" man="1"/>
    <brk id="110" max="6" man="1"/>
    <brk id="122" max="6" man="1"/>
    <brk id="135" max="6" man="1"/>
    <brk id="160" max="6" man="1"/>
    <brk id="180" max="6"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Q212"/>
  <sheetViews>
    <sheetView view="pageBreakPreview" topLeftCell="A20" zoomScale="60" zoomScaleNormal="100" workbookViewId="0">
      <selection activeCell="E42" sqref="E42:E208"/>
    </sheetView>
  </sheetViews>
  <sheetFormatPr defaultColWidth="8.6640625" defaultRowHeight="15.75"/>
  <cols>
    <col min="1" max="1" width="6.5546875" style="43" customWidth="1"/>
    <col min="2" max="2" width="27.44140625" style="53" customWidth="1"/>
    <col min="3" max="3" width="7.44140625" style="41" customWidth="1"/>
    <col min="4" max="4" width="1.109375" style="41" customWidth="1"/>
    <col min="5" max="5" width="11.109375" style="107" customWidth="1"/>
    <col min="6" max="6" width="3.44140625" style="41" customWidth="1"/>
    <col min="7" max="7" width="14" style="97" customWidth="1"/>
    <col min="8" max="8" width="3.6640625" style="38" customWidth="1"/>
    <col min="9" max="9" width="14.88671875" style="36" customWidth="1"/>
    <col min="10" max="10" width="8.6640625" style="37" customWidth="1"/>
    <col min="11" max="11" width="25.5546875" style="38" customWidth="1"/>
    <col min="12" max="12" width="15.5546875" style="38" customWidth="1"/>
    <col min="13" max="15" width="8.6640625" style="39" customWidth="1"/>
    <col min="16" max="16" width="8.6640625" style="38" customWidth="1"/>
    <col min="17" max="17" width="11.109375" style="82" customWidth="1"/>
    <col min="18" max="16384" width="8.6640625" style="38"/>
  </cols>
  <sheetData>
    <row r="1" spans="1:17" s="79" customFormat="1" ht="15.95" customHeight="1">
      <c r="A1" s="34"/>
      <c r="B1" s="35" t="s">
        <v>11</v>
      </c>
      <c r="C1" s="1" t="s">
        <v>123</v>
      </c>
      <c r="D1" s="33"/>
      <c r="E1" s="33"/>
      <c r="F1" s="2"/>
      <c r="G1" s="96"/>
      <c r="H1" s="78"/>
      <c r="Q1" s="90"/>
    </row>
    <row r="2" spans="1:17" s="79" customFormat="1" ht="15.95" customHeight="1">
      <c r="A2" s="34"/>
      <c r="B2" s="35"/>
      <c r="C2" s="1" t="s">
        <v>124</v>
      </c>
      <c r="D2" s="33"/>
      <c r="E2" s="33"/>
      <c r="F2" s="2"/>
      <c r="G2" s="96"/>
      <c r="H2" s="78"/>
      <c r="Q2" s="90"/>
    </row>
    <row r="3" spans="1:17" s="79" customFormat="1" ht="15.95" customHeight="1">
      <c r="A3" s="34"/>
      <c r="B3" s="35" t="s">
        <v>8</v>
      </c>
      <c r="C3" s="40" t="s">
        <v>223</v>
      </c>
      <c r="D3" s="33"/>
      <c r="E3" s="106"/>
      <c r="F3" s="2"/>
      <c r="G3" s="96"/>
      <c r="H3" s="78"/>
      <c r="Q3" s="90"/>
    </row>
    <row r="4" spans="1:17" s="79" customFormat="1">
      <c r="A4" s="34"/>
      <c r="B4" s="35" t="s">
        <v>12</v>
      </c>
      <c r="C4" s="40" t="s">
        <v>207</v>
      </c>
      <c r="D4" s="41"/>
      <c r="E4" s="107"/>
      <c r="F4" s="41"/>
      <c r="G4" s="97"/>
      <c r="Q4" s="82"/>
    </row>
    <row r="5" spans="1:17" s="79" customFormat="1">
      <c r="A5" s="34"/>
      <c r="B5" s="35" t="s">
        <v>13</v>
      </c>
      <c r="C5" s="1" t="s">
        <v>172</v>
      </c>
      <c r="D5" s="33"/>
      <c r="E5" s="106"/>
      <c r="F5" s="2"/>
      <c r="G5" s="97"/>
      <c r="Q5" s="90"/>
    </row>
    <row r="6" spans="1:17">
      <c r="A6" s="34"/>
      <c r="B6" s="35"/>
      <c r="C6" s="42" t="s">
        <v>173</v>
      </c>
    </row>
    <row r="7" spans="1:17">
      <c r="A7" s="34"/>
      <c r="B7" s="35"/>
      <c r="C7" s="42"/>
    </row>
    <row r="9" spans="1:17" ht="18">
      <c r="A9" s="43" t="s">
        <v>14</v>
      </c>
      <c r="B9" s="44" t="s">
        <v>52</v>
      </c>
      <c r="C9" s="45"/>
      <c r="D9" s="45"/>
      <c r="E9" s="108"/>
      <c r="F9" s="45"/>
      <c r="G9" s="98"/>
      <c r="Q9" s="83"/>
    </row>
    <row r="10" spans="1:17">
      <c r="B10" s="45"/>
      <c r="C10" s="45"/>
      <c r="D10" s="45"/>
      <c r="E10" s="108"/>
      <c r="F10" s="45"/>
      <c r="G10" s="98"/>
      <c r="Q10" s="83"/>
    </row>
    <row r="12" spans="1:17" s="7" customFormat="1">
      <c r="A12" s="8" t="s">
        <v>15</v>
      </c>
      <c r="B12" s="9" t="s">
        <v>16</v>
      </c>
      <c r="C12" s="46"/>
      <c r="E12" s="109"/>
      <c r="G12" s="99"/>
      <c r="I12" s="26"/>
      <c r="J12" s="22"/>
      <c r="M12" s="30"/>
      <c r="N12" s="30"/>
      <c r="O12" s="30"/>
      <c r="Q12" s="91"/>
    </row>
    <row r="13" spans="1:17" s="7" customFormat="1">
      <c r="A13" s="8"/>
      <c r="B13" s="9"/>
      <c r="C13" s="46"/>
      <c r="E13" s="109"/>
      <c r="G13" s="99"/>
      <c r="I13" s="26"/>
      <c r="J13" s="22"/>
      <c r="M13" s="30"/>
      <c r="N13" s="30"/>
      <c r="O13" s="30"/>
      <c r="Q13" s="91"/>
    </row>
    <row r="14" spans="1:17" s="7" customFormat="1">
      <c r="A14" s="47" t="s">
        <v>27</v>
      </c>
      <c r="B14" s="48" t="s">
        <v>26</v>
      </c>
      <c r="C14" s="49"/>
      <c r="D14" s="49"/>
      <c r="E14" s="110"/>
      <c r="F14" s="49"/>
      <c r="G14" s="209"/>
      <c r="H14" s="80"/>
      <c r="I14" s="26"/>
      <c r="J14" s="22"/>
      <c r="K14" s="119"/>
      <c r="M14" s="30"/>
      <c r="N14" s="30"/>
      <c r="O14" s="30"/>
      <c r="Q14" s="84"/>
    </row>
    <row r="15" spans="1:17">
      <c r="A15" s="47" t="s">
        <v>32</v>
      </c>
      <c r="B15" s="48" t="s">
        <v>17</v>
      </c>
      <c r="C15" s="49"/>
      <c r="D15" s="49"/>
      <c r="E15" s="110"/>
      <c r="F15" s="49"/>
      <c r="G15" s="209"/>
      <c r="H15" s="80"/>
      <c r="K15" s="116"/>
      <c r="Q15" s="84"/>
    </row>
    <row r="16" spans="1:17">
      <c r="A16" s="47" t="s">
        <v>42</v>
      </c>
      <c r="B16" s="48" t="s">
        <v>18</v>
      </c>
      <c r="C16" s="49"/>
      <c r="D16" s="49"/>
      <c r="E16" s="110"/>
      <c r="F16" s="49"/>
      <c r="G16" s="209"/>
      <c r="H16" s="80"/>
      <c r="K16" s="116"/>
      <c r="Q16" s="84"/>
    </row>
    <row r="17" spans="1:17" s="79" customFormat="1" ht="31.5">
      <c r="A17" s="47" t="s">
        <v>0</v>
      </c>
      <c r="B17" s="48" t="s">
        <v>40</v>
      </c>
      <c r="C17" s="49"/>
      <c r="D17" s="49"/>
      <c r="E17" s="110"/>
      <c r="F17" s="49"/>
      <c r="G17" s="209"/>
      <c r="H17" s="80"/>
      <c r="Q17" s="84"/>
    </row>
    <row r="18" spans="1:17">
      <c r="A18" s="47"/>
      <c r="B18" s="48"/>
      <c r="C18" s="49"/>
      <c r="D18" s="49"/>
      <c r="E18" s="110"/>
      <c r="F18" s="49"/>
      <c r="G18" s="100"/>
      <c r="K18" s="116"/>
      <c r="Q18" s="84"/>
    </row>
    <row r="19" spans="1:17" ht="16.5" thickBot="1">
      <c r="A19" s="47"/>
      <c r="B19" s="50" t="s">
        <v>53</v>
      </c>
      <c r="C19" s="51"/>
      <c r="D19" s="51"/>
      <c r="E19" s="111"/>
      <c r="F19" s="51"/>
      <c r="G19" s="210"/>
      <c r="H19" s="80"/>
      <c r="K19" s="117"/>
      <c r="Q19" s="85"/>
    </row>
    <row r="23" spans="1:17" ht="15.95" customHeight="1">
      <c r="B23" s="53" t="s">
        <v>81</v>
      </c>
      <c r="E23" s="458" t="s">
        <v>143</v>
      </c>
      <c r="F23" s="458"/>
      <c r="G23" s="458"/>
    </row>
    <row r="24" spans="1:17" ht="84.75" customHeight="1">
      <c r="B24" s="53" t="s">
        <v>84</v>
      </c>
      <c r="E24" s="458" t="s">
        <v>241</v>
      </c>
      <c r="F24" s="458"/>
      <c r="G24" s="458"/>
    </row>
    <row r="26" spans="1:17">
      <c r="B26" s="53" t="s">
        <v>82</v>
      </c>
    </row>
    <row r="27" spans="1:17" ht="63.75">
      <c r="B27" s="53" t="s">
        <v>83</v>
      </c>
    </row>
    <row r="29" spans="1:17">
      <c r="K29" s="53"/>
    </row>
    <row r="30" spans="1:17">
      <c r="K30" s="53"/>
    </row>
    <row r="34" spans="1:17">
      <c r="B34" s="53" t="s">
        <v>166</v>
      </c>
    </row>
    <row r="35" spans="1:17" s="7" customFormat="1">
      <c r="A35" s="43"/>
      <c r="B35" s="53"/>
      <c r="C35" s="41"/>
      <c r="D35" s="41"/>
      <c r="E35" s="107"/>
      <c r="F35" s="41"/>
      <c r="G35" s="97"/>
      <c r="H35" s="38"/>
      <c r="I35" s="26"/>
      <c r="J35" s="22"/>
      <c r="M35" s="30"/>
      <c r="N35" s="30"/>
      <c r="O35" s="30"/>
      <c r="Q35" s="82"/>
    </row>
    <row r="36" spans="1:17">
      <c r="A36" s="11" t="s">
        <v>19</v>
      </c>
      <c r="B36" s="9" t="s">
        <v>16</v>
      </c>
      <c r="C36" s="46"/>
      <c r="D36" s="7"/>
      <c r="E36" s="109"/>
      <c r="F36" s="7"/>
      <c r="G36" s="99"/>
      <c r="H36" s="7"/>
      <c r="Q36" s="91"/>
    </row>
    <row r="37" spans="1:17" s="7" customFormat="1">
      <c r="A37" s="43"/>
      <c r="B37" s="55"/>
      <c r="C37" s="56"/>
      <c r="D37" s="56"/>
      <c r="E37" s="112"/>
      <c r="F37" s="56"/>
      <c r="G37" s="101"/>
      <c r="H37" s="38"/>
      <c r="I37" s="26"/>
      <c r="J37" s="22"/>
      <c r="M37" s="30"/>
      <c r="N37" s="30"/>
      <c r="O37" s="30"/>
      <c r="Q37" s="86"/>
    </row>
    <row r="38" spans="1:17" s="7" customFormat="1">
      <c r="A38" s="11" t="s">
        <v>27</v>
      </c>
      <c r="B38" s="9" t="s">
        <v>26</v>
      </c>
      <c r="C38" s="46"/>
      <c r="E38" s="109"/>
      <c r="G38" s="99"/>
      <c r="I38" s="26"/>
      <c r="J38" s="22"/>
      <c r="M38" s="30"/>
      <c r="N38" s="30"/>
      <c r="O38" s="30"/>
      <c r="Q38" s="91"/>
    </row>
    <row r="39" spans="1:17" s="7" customFormat="1">
      <c r="A39" s="8"/>
      <c r="B39" s="9"/>
      <c r="C39" s="207" t="s">
        <v>170</v>
      </c>
      <c r="D39" s="203"/>
      <c r="E39" s="208" t="s">
        <v>171</v>
      </c>
      <c r="F39" s="203"/>
      <c r="G39" s="208" t="s">
        <v>164</v>
      </c>
      <c r="I39" s="26"/>
      <c r="J39" s="22"/>
      <c r="M39" s="30"/>
      <c r="N39" s="30"/>
      <c r="O39" s="30"/>
      <c r="Q39" s="91"/>
    </row>
    <row r="40" spans="1:17" s="17" customFormat="1" ht="39">
      <c r="A40" s="12" t="s">
        <v>28</v>
      </c>
      <c r="B40" s="13" t="s">
        <v>139</v>
      </c>
      <c r="C40" s="46"/>
      <c r="D40" s="7"/>
      <c r="E40" s="109"/>
      <c r="F40" s="7"/>
      <c r="G40" s="99"/>
      <c r="H40" s="7"/>
      <c r="I40" s="27"/>
      <c r="J40" s="23"/>
      <c r="M40" s="31"/>
      <c r="N40" s="31"/>
      <c r="O40" s="31"/>
      <c r="Q40" s="91"/>
    </row>
    <row r="41" spans="1:17" s="7" customFormat="1">
      <c r="A41" s="18"/>
      <c r="B41" s="13"/>
      <c r="C41" s="57"/>
      <c r="D41" s="17"/>
      <c r="E41" s="113"/>
      <c r="F41" s="17"/>
      <c r="G41" s="102"/>
      <c r="H41" s="17"/>
      <c r="I41" s="26"/>
      <c r="J41" s="22"/>
      <c r="M41" s="30"/>
      <c r="N41" s="30"/>
      <c r="O41" s="30"/>
      <c r="Q41" s="92"/>
    </row>
    <row r="42" spans="1:17" s="7" customFormat="1">
      <c r="A42" s="8"/>
      <c r="B42" s="52" t="s">
        <v>22</v>
      </c>
      <c r="C42" s="214">
        <v>91</v>
      </c>
      <c r="D42" s="41"/>
      <c r="E42" s="230"/>
      <c r="F42" s="81"/>
      <c r="G42" s="213"/>
      <c r="H42" s="81"/>
      <c r="I42" s="26"/>
      <c r="J42" s="22"/>
      <c r="M42" s="30"/>
      <c r="N42" s="30"/>
      <c r="O42" s="30"/>
      <c r="Q42" s="82"/>
    </row>
    <row r="43" spans="1:17" s="7" customFormat="1">
      <c r="A43" s="8"/>
      <c r="B43" s="14"/>
      <c r="C43" s="46"/>
      <c r="E43" s="231"/>
      <c r="G43" s="99"/>
      <c r="I43" s="26"/>
      <c r="J43" s="22"/>
      <c r="M43" s="30"/>
      <c r="N43" s="30"/>
      <c r="O43" s="30"/>
      <c r="Q43" s="91"/>
    </row>
    <row r="44" spans="1:17" s="19" customFormat="1" ht="76.5">
      <c r="A44" s="12" t="s">
        <v>30</v>
      </c>
      <c r="B44" s="127" t="s">
        <v>140</v>
      </c>
      <c r="C44" s="46"/>
      <c r="D44" s="7"/>
      <c r="E44" s="231"/>
      <c r="F44" s="7"/>
      <c r="G44" s="99"/>
      <c r="H44" s="7"/>
      <c r="I44" s="28"/>
      <c r="J44" s="24"/>
      <c r="K44" s="52"/>
      <c r="M44" s="32"/>
      <c r="N44" s="32"/>
      <c r="O44" s="32"/>
      <c r="Q44" s="91"/>
    </row>
    <row r="45" spans="1:17" s="7" customFormat="1">
      <c r="A45" s="20"/>
      <c r="B45" s="52"/>
      <c r="C45" s="58"/>
      <c r="D45" s="19"/>
      <c r="E45" s="231"/>
      <c r="F45" s="19"/>
      <c r="G45" s="103"/>
      <c r="H45" s="19"/>
      <c r="I45" s="26"/>
      <c r="J45" s="22"/>
      <c r="M45" s="30"/>
      <c r="N45" s="30"/>
      <c r="O45" s="30"/>
      <c r="Q45" s="93"/>
    </row>
    <row r="46" spans="1:17" s="7" customFormat="1">
      <c r="A46" s="8"/>
      <c r="B46" s="52" t="s">
        <v>55</v>
      </c>
      <c r="C46" s="214">
        <v>1</v>
      </c>
      <c r="D46" s="41"/>
      <c r="E46" s="232"/>
      <c r="F46" s="81"/>
      <c r="G46" s="213"/>
      <c r="H46" s="81"/>
      <c r="I46" s="26"/>
      <c r="J46" s="22"/>
      <c r="M46" s="30"/>
      <c r="N46" s="30"/>
      <c r="O46" s="30"/>
      <c r="Q46" s="82"/>
    </row>
    <row r="47" spans="1:17" s="7" customFormat="1">
      <c r="A47" s="8"/>
      <c r="B47" s="52"/>
      <c r="C47" s="41"/>
      <c r="D47" s="41"/>
      <c r="E47" s="231"/>
      <c r="F47" s="41"/>
      <c r="G47" s="97"/>
      <c r="H47" s="41"/>
      <c r="I47" s="26"/>
      <c r="J47" s="22"/>
      <c r="M47" s="30"/>
      <c r="N47" s="30"/>
      <c r="O47" s="30"/>
      <c r="Q47" s="82"/>
    </row>
    <row r="48" spans="1:17" s="19" customFormat="1" ht="57" customHeight="1">
      <c r="A48" s="12" t="s">
        <v>31</v>
      </c>
      <c r="B48" s="52" t="s">
        <v>66</v>
      </c>
      <c r="C48" s="46"/>
      <c r="D48" s="7"/>
      <c r="E48" s="237"/>
      <c r="F48" s="7"/>
      <c r="G48" s="99"/>
      <c r="H48" s="7"/>
      <c r="I48" s="28"/>
      <c r="J48" s="24"/>
      <c r="M48" s="32"/>
      <c r="N48" s="32"/>
      <c r="O48" s="32"/>
      <c r="Q48" s="91"/>
    </row>
    <row r="49" spans="1:17" s="7" customFormat="1">
      <c r="A49" s="20"/>
      <c r="B49" s="52"/>
      <c r="C49" s="58"/>
      <c r="D49" s="19"/>
      <c r="E49" s="250"/>
      <c r="F49" s="19"/>
      <c r="G49" s="103"/>
      <c r="H49" s="19"/>
      <c r="I49" s="26"/>
      <c r="J49" s="22"/>
      <c r="M49" s="30"/>
      <c r="N49" s="30"/>
      <c r="O49" s="30"/>
      <c r="Q49" s="93"/>
    </row>
    <row r="50" spans="1:17" s="7" customFormat="1">
      <c r="A50" s="8"/>
      <c r="B50" s="52" t="s">
        <v>23</v>
      </c>
      <c r="C50" s="214">
        <v>4</v>
      </c>
      <c r="D50" s="41"/>
      <c r="E50" s="232"/>
      <c r="F50" s="81"/>
      <c r="G50" s="213"/>
      <c r="H50" s="81"/>
      <c r="I50" s="26"/>
      <c r="J50" s="22"/>
      <c r="M50" s="30"/>
      <c r="N50" s="30"/>
      <c r="O50" s="30"/>
      <c r="Q50" s="82"/>
    </row>
    <row r="51" spans="1:17" s="7" customFormat="1">
      <c r="A51" s="8"/>
      <c r="B51" s="52"/>
      <c r="C51" s="41"/>
      <c r="D51" s="41"/>
      <c r="E51" s="231"/>
      <c r="F51" s="41"/>
      <c r="G51" s="97"/>
      <c r="H51" s="41"/>
      <c r="I51" s="26"/>
      <c r="J51" s="22"/>
      <c r="M51" s="30"/>
      <c r="N51" s="30"/>
      <c r="O51" s="30"/>
      <c r="Q51" s="82"/>
    </row>
    <row r="52" spans="1:17" s="19" customFormat="1" ht="57.75" customHeight="1">
      <c r="A52" s="12" t="s">
        <v>56</v>
      </c>
      <c r="B52" s="52" t="s">
        <v>68</v>
      </c>
      <c r="C52" s="41"/>
      <c r="D52" s="41"/>
      <c r="E52" s="231"/>
      <c r="F52" s="41"/>
      <c r="G52" s="97"/>
      <c r="H52" s="7"/>
      <c r="I52" s="28"/>
      <c r="J52" s="24"/>
      <c r="M52" s="32"/>
      <c r="N52" s="32"/>
      <c r="O52" s="32"/>
      <c r="Q52" s="82"/>
    </row>
    <row r="53" spans="1:17" s="7" customFormat="1">
      <c r="A53" s="20"/>
      <c r="B53" s="52"/>
      <c r="C53" s="59"/>
      <c r="D53" s="59"/>
      <c r="E53" s="231"/>
      <c r="F53" s="59"/>
      <c r="G53" s="104"/>
      <c r="H53" s="19"/>
      <c r="I53" s="26"/>
      <c r="J53" s="22"/>
      <c r="M53" s="30"/>
      <c r="N53" s="30"/>
      <c r="O53" s="30"/>
      <c r="Q53" s="87"/>
    </row>
    <row r="54" spans="1:17" s="7" customFormat="1">
      <c r="A54" s="8"/>
      <c r="B54" s="52" t="s">
        <v>23</v>
      </c>
      <c r="C54" s="214">
        <f>INT(C42/20)+1</f>
        <v>5</v>
      </c>
      <c r="D54" s="41"/>
      <c r="E54" s="232"/>
      <c r="F54" s="81"/>
      <c r="G54" s="213"/>
      <c r="H54" s="81"/>
      <c r="I54" s="26"/>
      <c r="J54" s="22"/>
      <c r="M54" s="30"/>
      <c r="N54" s="30"/>
      <c r="O54" s="30"/>
      <c r="Q54" s="82"/>
    </row>
    <row r="55" spans="1:17" s="7" customFormat="1">
      <c r="A55" s="8"/>
      <c r="B55" s="52"/>
      <c r="C55" s="41"/>
      <c r="D55" s="41"/>
      <c r="E55" s="231"/>
      <c r="F55" s="41"/>
      <c r="G55" s="97"/>
      <c r="H55" s="41"/>
      <c r="I55" s="26"/>
      <c r="J55" s="22"/>
      <c r="M55" s="30"/>
      <c r="N55" s="30"/>
      <c r="O55" s="30"/>
      <c r="Q55" s="82"/>
    </row>
    <row r="56" spans="1:17" s="7" customFormat="1" ht="38.25">
      <c r="A56" s="12" t="s">
        <v>5</v>
      </c>
      <c r="B56" s="52" t="s">
        <v>6</v>
      </c>
      <c r="C56" s="41"/>
      <c r="D56" s="41"/>
      <c r="E56" s="231"/>
      <c r="F56" s="41"/>
      <c r="G56" s="97"/>
      <c r="I56" s="26"/>
      <c r="J56" s="22"/>
      <c r="M56" s="30"/>
      <c r="N56" s="30"/>
      <c r="O56" s="30"/>
      <c r="Q56" s="82"/>
    </row>
    <row r="57" spans="1:17" s="7" customFormat="1">
      <c r="A57" s="20"/>
      <c r="B57" s="52"/>
      <c r="C57" s="59"/>
      <c r="D57" s="59"/>
      <c r="E57" s="233"/>
      <c r="F57" s="59"/>
      <c r="G57" s="104"/>
      <c r="H57" s="19"/>
      <c r="I57" s="26"/>
      <c r="J57" s="22"/>
      <c r="M57" s="30"/>
      <c r="N57" s="30"/>
      <c r="O57" s="30"/>
      <c r="Q57" s="87"/>
    </row>
    <row r="58" spans="1:17" s="7" customFormat="1">
      <c r="A58" s="8"/>
      <c r="B58" s="52" t="s">
        <v>29</v>
      </c>
      <c r="C58" s="214">
        <v>1</v>
      </c>
      <c r="D58" s="41"/>
      <c r="E58" s="232"/>
      <c r="F58" s="81"/>
      <c r="G58" s="213"/>
      <c r="H58" s="81"/>
      <c r="I58" s="26"/>
      <c r="J58" s="22"/>
      <c r="M58" s="30"/>
      <c r="N58" s="30"/>
      <c r="O58" s="30"/>
      <c r="Q58" s="82"/>
    </row>
    <row r="59" spans="1:17" s="7" customFormat="1">
      <c r="A59" s="8"/>
      <c r="B59" s="52"/>
      <c r="C59" s="41"/>
      <c r="D59" s="41"/>
      <c r="E59" s="231"/>
      <c r="F59" s="41"/>
      <c r="G59" s="97"/>
      <c r="H59" s="41"/>
      <c r="I59" s="26"/>
      <c r="J59" s="22"/>
      <c r="M59" s="30"/>
      <c r="N59" s="30"/>
      <c r="O59" s="30"/>
      <c r="Q59" s="82"/>
    </row>
    <row r="60" spans="1:17" s="19" customFormat="1" ht="48" customHeight="1">
      <c r="A60" s="12" t="s">
        <v>75</v>
      </c>
      <c r="B60" s="52" t="s">
        <v>136</v>
      </c>
      <c r="C60" s="41"/>
      <c r="D60" s="41"/>
      <c r="E60" s="231"/>
      <c r="F60" s="41"/>
      <c r="G60" s="97"/>
      <c r="H60" s="7"/>
      <c r="I60" s="28"/>
      <c r="J60" s="24"/>
      <c r="M60" s="32"/>
      <c r="N60" s="32"/>
      <c r="O60" s="32"/>
      <c r="Q60" s="82"/>
    </row>
    <row r="61" spans="1:17" s="7" customFormat="1">
      <c r="A61" s="20"/>
      <c r="B61" s="52"/>
      <c r="C61" s="59"/>
      <c r="D61" s="59"/>
      <c r="E61" s="233"/>
      <c r="F61" s="59"/>
      <c r="G61" s="104"/>
      <c r="H61" s="19"/>
      <c r="I61" s="26"/>
      <c r="J61" s="22"/>
      <c r="M61" s="30"/>
      <c r="N61" s="30"/>
      <c r="O61" s="30"/>
      <c r="Q61" s="87"/>
    </row>
    <row r="62" spans="1:17" s="7" customFormat="1">
      <c r="A62" s="8"/>
      <c r="B62" s="52" t="s">
        <v>23</v>
      </c>
      <c r="C62" s="214">
        <v>1</v>
      </c>
      <c r="D62" s="41"/>
      <c r="E62" s="232"/>
      <c r="F62" s="81"/>
      <c r="G62" s="213"/>
      <c r="H62" s="81"/>
      <c r="I62" s="26"/>
      <c r="J62" s="22"/>
      <c r="M62" s="30"/>
      <c r="N62" s="30"/>
      <c r="O62" s="30"/>
      <c r="Q62" s="82"/>
    </row>
    <row r="63" spans="1:17" s="7" customFormat="1">
      <c r="A63" s="8"/>
      <c r="B63" s="52"/>
      <c r="C63" s="41"/>
      <c r="D63" s="41"/>
      <c r="E63" s="231"/>
      <c r="F63" s="81"/>
      <c r="G63" s="97"/>
      <c r="H63" s="81"/>
      <c r="I63" s="26"/>
      <c r="J63" s="22"/>
      <c r="M63" s="30"/>
      <c r="N63" s="30"/>
      <c r="O63" s="30"/>
      <c r="Q63" s="82"/>
    </row>
    <row r="64" spans="1:17" s="19" customFormat="1" ht="34.5" customHeight="1">
      <c r="A64" s="12" t="s">
        <v>137</v>
      </c>
      <c r="B64" s="52" t="s">
        <v>138</v>
      </c>
      <c r="C64" s="41"/>
      <c r="D64" s="41"/>
      <c r="E64" s="231"/>
      <c r="F64" s="41"/>
      <c r="G64" s="97"/>
      <c r="H64" s="7"/>
      <c r="I64" s="28"/>
      <c r="J64" s="24"/>
      <c r="M64" s="32"/>
      <c r="N64" s="32"/>
      <c r="O64" s="32"/>
      <c r="Q64" s="82"/>
    </row>
    <row r="65" spans="1:17" s="7" customFormat="1">
      <c r="A65" s="20"/>
      <c r="B65" s="52"/>
      <c r="C65" s="59"/>
      <c r="D65" s="59"/>
      <c r="E65" s="233"/>
      <c r="F65" s="59"/>
      <c r="G65" s="104"/>
      <c r="H65" s="19"/>
      <c r="I65" s="26"/>
      <c r="J65" s="22"/>
      <c r="M65" s="30"/>
      <c r="N65" s="30"/>
      <c r="O65" s="30"/>
      <c r="Q65" s="87"/>
    </row>
    <row r="66" spans="1:17" s="7" customFormat="1">
      <c r="A66" s="8"/>
      <c r="B66" s="52" t="s">
        <v>71</v>
      </c>
      <c r="C66" s="214">
        <v>91</v>
      </c>
      <c r="D66" s="41"/>
      <c r="E66" s="232"/>
      <c r="F66" s="81"/>
      <c r="G66" s="213"/>
      <c r="H66" s="81"/>
      <c r="I66" s="26"/>
      <c r="J66" s="22"/>
      <c r="M66" s="30"/>
      <c r="N66" s="30"/>
      <c r="O66" s="30"/>
      <c r="Q66" s="82"/>
    </row>
    <row r="67" spans="1:17" s="7" customFormat="1">
      <c r="A67" s="8"/>
      <c r="B67" s="52"/>
      <c r="C67" s="207" t="s">
        <v>170</v>
      </c>
      <c r="D67" s="203"/>
      <c r="E67" s="235" t="s">
        <v>171</v>
      </c>
      <c r="F67" s="203"/>
      <c r="G67" s="208" t="s">
        <v>164</v>
      </c>
      <c r="H67" s="41"/>
      <c r="I67" s="26"/>
      <c r="J67" s="22"/>
      <c r="M67" s="30"/>
      <c r="N67" s="30"/>
      <c r="O67" s="30"/>
      <c r="Q67" s="82"/>
    </row>
    <row r="68" spans="1:17" s="7" customFormat="1" ht="86.25" customHeight="1">
      <c r="A68" s="12" t="s">
        <v>54</v>
      </c>
      <c r="B68" s="52" t="s">
        <v>224</v>
      </c>
      <c r="C68" s="41"/>
      <c r="D68" s="41"/>
      <c r="E68" s="231"/>
      <c r="F68" s="41"/>
      <c r="G68" s="97"/>
      <c r="I68" s="26"/>
      <c r="J68" s="22"/>
      <c r="M68" s="30"/>
      <c r="N68" s="30"/>
      <c r="O68" s="30"/>
      <c r="Q68" s="82"/>
    </row>
    <row r="69" spans="1:17" s="7" customFormat="1" ht="44.25" customHeight="1">
      <c r="A69" s="8"/>
      <c r="B69" s="52" t="s">
        <v>116</v>
      </c>
      <c r="C69" s="214">
        <v>1</v>
      </c>
      <c r="D69" s="41"/>
      <c r="E69" s="232"/>
      <c r="F69" s="81"/>
      <c r="G69" s="213"/>
      <c r="H69" s="81"/>
      <c r="I69" s="26"/>
      <c r="J69" s="22"/>
      <c r="M69" s="30"/>
      <c r="N69" s="30"/>
      <c r="O69" s="30"/>
      <c r="Q69" s="82"/>
    </row>
    <row r="70" spans="1:17" s="7" customFormat="1" ht="15.95" customHeight="1">
      <c r="A70" s="8"/>
      <c r="B70" s="52"/>
      <c r="C70" s="41"/>
      <c r="D70" s="41"/>
      <c r="E70" s="231"/>
      <c r="F70" s="41"/>
      <c r="G70" s="97"/>
      <c r="I70" s="26"/>
      <c r="J70" s="22"/>
      <c r="M70" s="30"/>
      <c r="N70" s="30"/>
      <c r="O70" s="30"/>
      <c r="Q70" s="82"/>
    </row>
    <row r="71" spans="1:17" s="7" customFormat="1" ht="15.95" customHeight="1">
      <c r="A71" s="12" t="s">
        <v>61</v>
      </c>
      <c r="B71" s="52" t="s">
        <v>62</v>
      </c>
      <c r="C71" s="41"/>
      <c r="D71" s="41"/>
      <c r="E71" s="231"/>
      <c r="F71" s="41"/>
      <c r="G71" s="97"/>
      <c r="I71" s="26"/>
      <c r="J71" s="22"/>
      <c r="M71" s="30"/>
      <c r="N71" s="30"/>
      <c r="O71" s="30"/>
      <c r="Q71" s="82"/>
    </row>
    <row r="72" spans="1:17" s="7" customFormat="1" ht="15.95" customHeight="1">
      <c r="A72" s="20"/>
      <c r="B72" s="52"/>
      <c r="C72" s="59"/>
      <c r="D72" s="59"/>
      <c r="E72" s="233"/>
      <c r="F72" s="59"/>
      <c r="G72" s="104"/>
      <c r="H72" s="19"/>
      <c r="I72" s="26"/>
      <c r="J72" s="22"/>
      <c r="M72" s="30"/>
      <c r="N72" s="30"/>
      <c r="O72" s="30"/>
      <c r="Q72" s="87"/>
    </row>
    <row r="73" spans="1:17" s="7" customFormat="1" ht="15.95" customHeight="1">
      <c r="A73" s="8"/>
      <c r="B73" s="52" t="s">
        <v>41</v>
      </c>
      <c r="C73" s="214">
        <v>3</v>
      </c>
      <c r="D73" s="41"/>
      <c r="E73" s="232"/>
      <c r="F73" s="81"/>
      <c r="G73" s="213"/>
      <c r="H73" s="81"/>
      <c r="I73" s="26"/>
      <c r="J73" s="22"/>
      <c r="M73" s="30"/>
      <c r="N73" s="30"/>
      <c r="O73" s="30"/>
      <c r="Q73" s="82"/>
    </row>
    <row r="74" spans="1:17" s="7" customFormat="1" ht="15.95" customHeight="1">
      <c r="A74" s="8"/>
      <c r="B74" s="52"/>
      <c r="C74" s="41"/>
      <c r="D74" s="41"/>
      <c r="E74" s="231"/>
      <c r="F74" s="41"/>
      <c r="G74" s="97"/>
      <c r="H74" s="41"/>
      <c r="I74" s="26"/>
      <c r="J74" s="22"/>
      <c r="M74" s="30"/>
      <c r="N74" s="30"/>
      <c r="O74" s="30"/>
      <c r="Q74" s="82"/>
    </row>
    <row r="75" spans="1:17" s="7" customFormat="1" ht="89.25" customHeight="1">
      <c r="A75" s="12" t="s">
        <v>73</v>
      </c>
      <c r="B75" s="52" t="s">
        <v>135</v>
      </c>
      <c r="C75" s="41"/>
      <c r="D75" s="41"/>
      <c r="E75" s="231"/>
      <c r="F75" s="41"/>
      <c r="G75" s="97"/>
      <c r="I75" s="26"/>
      <c r="J75" s="22"/>
      <c r="M75" s="30"/>
      <c r="N75" s="30"/>
      <c r="O75" s="30"/>
      <c r="Q75" s="82"/>
    </row>
    <row r="76" spans="1:17" s="7" customFormat="1" ht="15.95" customHeight="1">
      <c r="A76" s="20"/>
      <c r="B76" s="52"/>
      <c r="C76" s="59"/>
      <c r="D76" s="59"/>
      <c r="E76" s="233"/>
      <c r="F76" s="59"/>
      <c r="G76" s="104"/>
      <c r="H76" s="19"/>
      <c r="I76" s="26"/>
      <c r="J76" s="22"/>
      <c r="M76" s="30"/>
      <c r="N76" s="30"/>
      <c r="O76" s="30"/>
      <c r="Q76" s="87"/>
    </row>
    <row r="77" spans="1:17" s="7" customFormat="1" ht="15.95" customHeight="1">
      <c r="A77" s="8"/>
      <c r="B77" s="52" t="s">
        <v>23</v>
      </c>
      <c r="C77" s="214">
        <v>1</v>
      </c>
      <c r="D77" s="41"/>
      <c r="E77" s="232"/>
      <c r="F77" s="81"/>
      <c r="G77" s="213"/>
      <c r="H77" s="81"/>
      <c r="I77" s="26"/>
      <c r="J77" s="22"/>
      <c r="M77" s="30"/>
      <c r="N77" s="30"/>
      <c r="O77" s="30"/>
      <c r="Q77" s="82"/>
    </row>
    <row r="78" spans="1:17" s="7" customFormat="1" ht="15.95" customHeight="1">
      <c r="A78" s="8"/>
      <c r="B78" s="52"/>
      <c r="C78" s="41"/>
      <c r="D78" s="41"/>
      <c r="E78" s="231"/>
      <c r="F78" s="41"/>
      <c r="G78" s="97"/>
      <c r="H78" s="41"/>
      <c r="I78" s="26"/>
      <c r="J78" s="22"/>
      <c r="M78" s="30"/>
      <c r="N78" s="30"/>
      <c r="O78" s="30"/>
      <c r="Q78" s="82"/>
    </row>
    <row r="79" spans="1:17" s="7" customFormat="1" ht="33.950000000000003" customHeight="1">
      <c r="A79" s="12" t="s">
        <v>74</v>
      </c>
      <c r="B79" s="52" t="s">
        <v>10</v>
      </c>
      <c r="C79" s="41"/>
      <c r="D79" s="41"/>
      <c r="E79" s="231"/>
      <c r="F79" s="41"/>
      <c r="G79" s="97"/>
      <c r="I79" s="26"/>
      <c r="J79" s="22"/>
      <c r="M79" s="30"/>
      <c r="N79" s="30"/>
      <c r="O79" s="30"/>
      <c r="Q79" s="82"/>
    </row>
    <row r="80" spans="1:17" s="7" customFormat="1" ht="15.95" customHeight="1">
      <c r="A80" s="20"/>
      <c r="B80" s="52"/>
      <c r="C80" s="59"/>
      <c r="D80" s="59"/>
      <c r="E80" s="233"/>
      <c r="F80" s="59"/>
      <c r="G80" s="104"/>
      <c r="H80" s="19"/>
      <c r="I80" s="26"/>
      <c r="J80" s="22"/>
      <c r="M80" s="30"/>
      <c r="N80" s="30"/>
      <c r="O80" s="30"/>
      <c r="Q80" s="87"/>
    </row>
    <row r="81" spans="1:17" s="7" customFormat="1" ht="15.95" customHeight="1">
      <c r="A81" s="8"/>
      <c r="B81" s="52" t="s">
        <v>23</v>
      </c>
      <c r="C81" s="214">
        <v>1</v>
      </c>
      <c r="D81" s="41"/>
      <c r="E81" s="232"/>
      <c r="F81" s="81"/>
      <c r="G81" s="213"/>
      <c r="H81" s="81"/>
      <c r="I81" s="26"/>
      <c r="J81" s="22"/>
      <c r="M81" s="30"/>
      <c r="N81" s="30"/>
      <c r="O81" s="30"/>
      <c r="Q81" s="82"/>
    </row>
    <row r="82" spans="1:17" s="7" customFormat="1" ht="15.95" customHeight="1">
      <c r="A82" s="8"/>
      <c r="B82" s="52"/>
      <c r="C82" s="41"/>
      <c r="D82" s="41"/>
      <c r="E82" s="231"/>
      <c r="F82" s="41"/>
      <c r="G82" s="97"/>
      <c r="I82" s="26"/>
      <c r="J82" s="22"/>
      <c r="M82" s="30"/>
      <c r="N82" s="30"/>
      <c r="O82" s="30"/>
      <c r="Q82" s="82"/>
    </row>
    <row r="83" spans="1:17" s="7" customFormat="1" ht="31.5">
      <c r="A83" s="11"/>
      <c r="B83" s="60" t="s">
        <v>43</v>
      </c>
      <c r="C83" s="49"/>
      <c r="D83" s="49"/>
      <c r="E83" s="236"/>
      <c r="F83" s="49"/>
      <c r="G83" s="209"/>
      <c r="H83" s="49"/>
      <c r="I83" s="118"/>
      <c r="J83" s="22"/>
      <c r="M83" s="30"/>
      <c r="N83" s="30"/>
      <c r="O83" s="30"/>
      <c r="Q83" s="84"/>
    </row>
    <row r="84" spans="1:17" s="7" customFormat="1">
      <c r="A84" s="11"/>
      <c r="B84" s="60"/>
      <c r="C84" s="49"/>
      <c r="D84" s="49"/>
      <c r="E84" s="236"/>
      <c r="F84" s="49"/>
      <c r="G84" s="100"/>
      <c r="H84" s="49"/>
      <c r="I84" s="26"/>
      <c r="J84" s="22"/>
      <c r="M84" s="30"/>
      <c r="N84" s="30"/>
      <c r="O84" s="30"/>
      <c r="Q84" s="84"/>
    </row>
    <row r="85" spans="1:17" s="7" customFormat="1">
      <c r="A85" s="11" t="s">
        <v>32</v>
      </c>
      <c r="B85" s="9" t="s">
        <v>17</v>
      </c>
      <c r="C85" s="46"/>
      <c r="E85" s="237"/>
      <c r="G85" s="99"/>
      <c r="I85" s="26"/>
      <c r="J85" s="22"/>
      <c r="M85" s="30"/>
      <c r="N85" s="30"/>
      <c r="O85" s="30"/>
      <c r="Q85" s="91"/>
    </row>
    <row r="86" spans="1:17">
      <c r="B86" s="52"/>
      <c r="E86" s="231"/>
      <c r="H86" s="61"/>
    </row>
    <row r="87" spans="1:17" ht="69" customHeight="1">
      <c r="A87" s="43" t="s">
        <v>34</v>
      </c>
      <c r="B87" s="52" t="s">
        <v>133</v>
      </c>
      <c r="E87" s="231"/>
      <c r="H87" s="61"/>
      <c r="J87" s="52"/>
    </row>
    <row r="88" spans="1:17">
      <c r="B88" s="52"/>
      <c r="E88" s="231"/>
      <c r="H88" s="61"/>
    </row>
    <row r="89" spans="1:17">
      <c r="B89" s="52" t="s">
        <v>25</v>
      </c>
      <c r="C89" s="214">
        <f>17.37/0.09</f>
        <v>193.00000000000003</v>
      </c>
      <c r="E89" s="232"/>
      <c r="F89" s="81"/>
      <c r="G89" s="213"/>
      <c r="H89" s="81"/>
    </row>
    <row r="90" spans="1:17">
      <c r="B90" s="52"/>
      <c r="E90" s="231"/>
      <c r="H90" s="61"/>
    </row>
    <row r="91" spans="1:17" ht="83.25" customHeight="1">
      <c r="A91" s="43" t="s">
        <v>35</v>
      </c>
      <c r="B91" s="52" t="s">
        <v>87</v>
      </c>
      <c r="E91" s="231"/>
      <c r="H91" s="61"/>
    </row>
    <row r="92" spans="1:17">
      <c r="B92" s="52"/>
      <c r="E92" s="231"/>
      <c r="H92" s="61"/>
    </row>
    <row r="93" spans="1:17">
      <c r="B93" s="52" t="s">
        <v>20</v>
      </c>
      <c r="C93" s="214">
        <f>C50*0.8</f>
        <v>3.2</v>
      </c>
      <c r="E93" s="232"/>
      <c r="F93" s="81"/>
      <c r="G93" s="213"/>
      <c r="H93" s="81"/>
      <c r="J93" s="36"/>
    </row>
    <row r="94" spans="1:17">
      <c r="B94" s="52"/>
      <c r="E94" s="231"/>
      <c r="H94" s="41"/>
      <c r="J94" s="36"/>
    </row>
    <row r="95" spans="1:17">
      <c r="B95" s="52"/>
      <c r="C95" s="207" t="s">
        <v>170</v>
      </c>
      <c r="D95" s="203"/>
      <c r="E95" s="235" t="s">
        <v>171</v>
      </c>
      <c r="F95" s="203"/>
      <c r="G95" s="208" t="s">
        <v>164</v>
      </c>
      <c r="H95" s="61"/>
    </row>
    <row r="96" spans="1:17" ht="69" customHeight="1">
      <c r="A96" s="43" t="s">
        <v>36</v>
      </c>
      <c r="B96" s="52" t="s">
        <v>88</v>
      </c>
      <c r="E96" s="231"/>
      <c r="H96" s="61"/>
    </row>
    <row r="97" spans="1:17">
      <c r="B97" s="52"/>
      <c r="E97" s="231"/>
      <c r="H97" s="61"/>
    </row>
    <row r="98" spans="1:17" ht="25.5">
      <c r="B98" s="52" t="s">
        <v>141</v>
      </c>
      <c r="E98" s="231"/>
      <c r="H98" s="61"/>
    </row>
    <row r="99" spans="1:17">
      <c r="B99" s="52" t="s">
        <v>20</v>
      </c>
      <c r="C99" s="214">
        <f>232.42*0.8</f>
        <v>185.93600000000001</v>
      </c>
      <c r="E99" s="230"/>
      <c r="F99" s="81"/>
      <c r="G99" s="213"/>
      <c r="H99" s="81"/>
    </row>
    <row r="100" spans="1:17">
      <c r="B100" s="52"/>
      <c r="E100" s="231"/>
      <c r="H100" s="41"/>
      <c r="J100" s="36"/>
    </row>
    <row r="101" spans="1:17">
      <c r="B101" s="52" t="s">
        <v>142</v>
      </c>
      <c r="E101" s="231"/>
      <c r="H101" s="61"/>
    </row>
    <row r="102" spans="1:17">
      <c r="B102" s="52" t="s">
        <v>20</v>
      </c>
      <c r="C102" s="214">
        <f>232.42*0.2</f>
        <v>46.484000000000002</v>
      </c>
      <c r="E102" s="232"/>
      <c r="F102" s="81"/>
      <c r="G102" s="213"/>
      <c r="H102" s="81"/>
    </row>
    <row r="103" spans="1:17">
      <c r="B103" s="52"/>
      <c r="E103" s="231"/>
      <c r="H103" s="61"/>
    </row>
    <row r="104" spans="1:17" ht="67.5" customHeight="1">
      <c r="A104" s="43" t="s">
        <v>37</v>
      </c>
      <c r="B104" s="52" t="s">
        <v>89</v>
      </c>
      <c r="E104" s="231"/>
      <c r="H104" s="61"/>
    </row>
    <row r="105" spans="1:17">
      <c r="B105" s="52"/>
      <c r="E105" s="231"/>
      <c r="H105" s="61"/>
    </row>
    <row r="106" spans="1:17" ht="25.5">
      <c r="B106" s="52" t="s">
        <v>141</v>
      </c>
      <c r="E106" s="231"/>
      <c r="H106" s="61"/>
    </row>
    <row r="107" spans="1:17">
      <c r="B107" s="52" t="s">
        <v>20</v>
      </c>
      <c r="C107" s="214">
        <f>3.11*0.8</f>
        <v>2.488</v>
      </c>
      <c r="E107" s="238"/>
      <c r="F107" s="81"/>
      <c r="G107" s="213"/>
      <c r="H107" s="81"/>
    </row>
    <row r="108" spans="1:17">
      <c r="B108" s="52"/>
      <c r="E108" s="231"/>
      <c r="H108" s="41"/>
      <c r="J108" s="36"/>
    </row>
    <row r="109" spans="1:17">
      <c r="B109" s="52" t="s">
        <v>142</v>
      </c>
      <c r="E109" s="231"/>
      <c r="H109" s="61"/>
    </row>
    <row r="110" spans="1:17">
      <c r="B110" s="52" t="s">
        <v>20</v>
      </c>
      <c r="C110" s="214">
        <f>3.11*0.2</f>
        <v>0.622</v>
      </c>
      <c r="E110" s="230"/>
      <c r="F110" s="81"/>
      <c r="G110" s="213"/>
      <c r="H110" s="81"/>
    </row>
    <row r="111" spans="1:17" s="68" customFormat="1">
      <c r="A111" s="69"/>
      <c r="B111" s="70"/>
      <c r="C111" s="66"/>
      <c r="D111" s="66"/>
      <c r="E111" s="231"/>
      <c r="F111" s="66"/>
      <c r="G111" s="97"/>
      <c r="H111" s="67"/>
      <c r="Q111" s="88"/>
    </row>
    <row r="112" spans="1:17" s="64" customFormat="1" ht="42" customHeight="1">
      <c r="A112" s="43" t="s">
        <v>45</v>
      </c>
      <c r="B112" s="52" t="s">
        <v>38</v>
      </c>
      <c r="C112" s="41"/>
      <c r="D112" s="41"/>
      <c r="E112" s="231"/>
      <c r="F112" s="41"/>
      <c r="G112" s="97"/>
      <c r="H112" s="61"/>
      <c r="I112" s="62"/>
      <c r="J112" s="63"/>
      <c r="M112" s="65"/>
      <c r="N112" s="65"/>
      <c r="O112" s="65"/>
      <c r="Q112" s="82"/>
    </row>
    <row r="113" spans="1:17">
      <c r="B113" s="52"/>
      <c r="C113" s="59"/>
      <c r="D113" s="59"/>
      <c r="E113" s="231"/>
      <c r="F113" s="59"/>
      <c r="G113" s="104"/>
      <c r="H113" s="64"/>
      <c r="Q113" s="87"/>
    </row>
    <row r="114" spans="1:17">
      <c r="B114" s="52" t="s">
        <v>25</v>
      </c>
      <c r="C114" s="214">
        <f>C42*0.75</f>
        <v>68.25</v>
      </c>
      <c r="E114" s="232"/>
      <c r="G114" s="213"/>
      <c r="H114" s="41"/>
    </row>
    <row r="115" spans="1:17">
      <c r="B115" s="52"/>
      <c r="E115" s="231"/>
      <c r="H115" s="61"/>
    </row>
    <row r="116" spans="1:17" s="64" customFormat="1" ht="147.75" customHeight="1">
      <c r="A116" s="43" t="s">
        <v>46</v>
      </c>
      <c r="B116" s="52" t="s">
        <v>90</v>
      </c>
      <c r="C116" s="41"/>
      <c r="D116" s="41"/>
      <c r="E116" s="231"/>
      <c r="F116" s="41"/>
      <c r="G116" s="97"/>
      <c r="H116" s="61"/>
      <c r="I116" s="62"/>
      <c r="J116" s="63"/>
      <c r="M116" s="65"/>
      <c r="N116" s="65"/>
      <c r="O116" s="65"/>
      <c r="Q116" s="82"/>
    </row>
    <row r="117" spans="1:17">
      <c r="A117" s="71"/>
      <c r="B117" s="52"/>
      <c r="C117" s="59"/>
      <c r="D117" s="59"/>
      <c r="E117" s="231"/>
      <c r="F117" s="59"/>
      <c r="G117" s="104"/>
      <c r="H117" s="64"/>
      <c r="Q117" s="87"/>
    </row>
    <row r="118" spans="1:17">
      <c r="B118" s="52" t="s">
        <v>20</v>
      </c>
      <c r="C118" s="214">
        <v>13.2</v>
      </c>
      <c r="E118" s="232"/>
      <c r="G118" s="213"/>
      <c r="H118" s="41"/>
    </row>
    <row r="119" spans="1:17">
      <c r="B119" s="52"/>
      <c r="C119" s="207" t="s">
        <v>170</v>
      </c>
      <c r="D119" s="203"/>
      <c r="E119" s="235" t="s">
        <v>171</v>
      </c>
      <c r="F119" s="203"/>
      <c r="G119" s="208" t="s">
        <v>164</v>
      </c>
      <c r="H119" s="61"/>
    </row>
    <row r="120" spans="1:17" s="64" customFormat="1" ht="120" customHeight="1">
      <c r="A120" s="43" t="s">
        <v>47</v>
      </c>
      <c r="B120" s="52" t="s">
        <v>132</v>
      </c>
      <c r="C120" s="41"/>
      <c r="D120" s="41"/>
      <c r="E120" s="231"/>
      <c r="F120" s="41"/>
      <c r="G120" s="97"/>
      <c r="H120" s="61"/>
      <c r="I120" s="62"/>
      <c r="J120" s="63"/>
      <c r="M120" s="65"/>
      <c r="N120" s="65"/>
      <c r="O120" s="65"/>
      <c r="Q120" s="82"/>
    </row>
    <row r="121" spans="1:17">
      <c r="A121" s="71"/>
      <c r="B121" s="52"/>
      <c r="C121" s="59"/>
      <c r="D121" s="59"/>
      <c r="E121" s="231"/>
      <c r="F121" s="59"/>
      <c r="G121" s="104"/>
      <c r="H121" s="64"/>
      <c r="Q121" s="87"/>
    </row>
    <row r="122" spans="1:17">
      <c r="B122" s="52" t="s">
        <v>20</v>
      </c>
      <c r="C122" s="214">
        <v>45</v>
      </c>
      <c r="E122" s="232"/>
      <c r="G122" s="213"/>
      <c r="H122" s="41"/>
    </row>
    <row r="123" spans="1:17">
      <c r="B123" s="52"/>
      <c r="E123" s="231"/>
      <c r="H123" s="61"/>
    </row>
    <row r="124" spans="1:17" ht="89.25">
      <c r="A124" s="43" t="s">
        <v>48</v>
      </c>
      <c r="B124" s="52" t="s">
        <v>91</v>
      </c>
      <c r="E124" s="231"/>
      <c r="H124" s="61"/>
    </row>
    <row r="125" spans="1:17">
      <c r="A125" s="71"/>
      <c r="B125" s="52"/>
      <c r="E125" s="231"/>
      <c r="H125" s="61"/>
    </row>
    <row r="126" spans="1:17">
      <c r="B126" s="52" t="s">
        <v>20</v>
      </c>
      <c r="C126" s="214">
        <f>135.8*1</f>
        <v>135.80000000000001</v>
      </c>
      <c r="E126" s="232"/>
      <c r="G126" s="213"/>
      <c r="H126" s="41"/>
    </row>
    <row r="127" spans="1:17">
      <c r="B127" s="52"/>
      <c r="E127" s="231"/>
      <c r="H127" s="61"/>
      <c r="I127" s="38"/>
      <c r="J127" s="38"/>
      <c r="M127" s="38"/>
      <c r="N127" s="38"/>
      <c r="O127" s="38"/>
    </row>
    <row r="128" spans="1:17" ht="114.75">
      <c r="A128" s="43" t="s">
        <v>50</v>
      </c>
      <c r="B128" s="52" t="s">
        <v>177</v>
      </c>
      <c r="E128" s="231"/>
      <c r="H128" s="61"/>
      <c r="K128" s="52"/>
    </row>
    <row r="129" spans="1:8">
      <c r="A129" s="71"/>
      <c r="B129" s="52"/>
      <c r="E129" s="231"/>
      <c r="H129" s="61"/>
    </row>
    <row r="130" spans="1:8">
      <c r="B130" s="52" t="s">
        <v>20</v>
      </c>
      <c r="C130" s="214">
        <v>36.6</v>
      </c>
      <c r="E130" s="232"/>
      <c r="G130" s="213"/>
      <c r="H130" s="41"/>
    </row>
    <row r="131" spans="1:8">
      <c r="B131" s="52"/>
      <c r="C131" s="207" t="s">
        <v>170</v>
      </c>
      <c r="D131" s="203"/>
      <c r="E131" s="235" t="s">
        <v>171</v>
      </c>
      <c r="F131" s="203"/>
      <c r="G131" s="208" t="s">
        <v>164</v>
      </c>
      <c r="H131" s="61"/>
    </row>
    <row r="132" spans="1:8" ht="328.5" customHeight="1">
      <c r="A132" s="43" t="s">
        <v>51</v>
      </c>
      <c r="B132" s="16" t="s">
        <v>168</v>
      </c>
      <c r="E132" s="231"/>
      <c r="H132" s="61"/>
    </row>
    <row r="133" spans="1:8">
      <c r="A133" s="71"/>
      <c r="B133" s="72"/>
      <c r="E133" s="231"/>
      <c r="H133" s="61"/>
    </row>
    <row r="134" spans="1:8">
      <c r="B134" s="52" t="s">
        <v>25</v>
      </c>
      <c r="C134" s="214">
        <f>C89</f>
        <v>193.00000000000003</v>
      </c>
      <c r="E134" s="230"/>
      <c r="G134" s="213"/>
      <c r="H134" s="41"/>
    </row>
    <row r="135" spans="1:8">
      <c r="B135" s="52"/>
      <c r="E135" s="231"/>
      <c r="H135" s="41"/>
    </row>
    <row r="136" spans="1:8" ht="55.7" customHeight="1">
      <c r="A136" s="43" t="s">
        <v>67</v>
      </c>
      <c r="B136" s="16" t="s">
        <v>249</v>
      </c>
      <c r="E136" s="231"/>
      <c r="H136" s="61"/>
    </row>
    <row r="137" spans="1:8">
      <c r="A137" s="71"/>
      <c r="B137" s="72"/>
      <c r="E137" s="231"/>
      <c r="H137" s="61"/>
    </row>
    <row r="138" spans="1:8">
      <c r="B138" s="52" t="s">
        <v>25</v>
      </c>
      <c r="C138" s="214">
        <v>137</v>
      </c>
      <c r="E138" s="232"/>
      <c r="G138" s="213"/>
      <c r="H138" s="41"/>
    </row>
    <row r="139" spans="1:8">
      <c r="B139" s="52"/>
      <c r="E139" s="231"/>
      <c r="H139" s="61"/>
    </row>
    <row r="140" spans="1:8" ht="116.25">
      <c r="A140" s="43" t="s">
        <v>57</v>
      </c>
      <c r="B140" s="52" t="s">
        <v>96</v>
      </c>
      <c r="E140" s="231"/>
      <c r="H140" s="61"/>
    </row>
    <row r="141" spans="1:8">
      <c r="B141" s="52"/>
      <c r="E141" s="231"/>
      <c r="H141" s="61"/>
    </row>
    <row r="142" spans="1:8">
      <c r="B142" s="52" t="s">
        <v>20</v>
      </c>
      <c r="C142" s="214">
        <f>(235.54)*1.3</f>
        <v>306.202</v>
      </c>
      <c r="E142" s="232"/>
      <c r="G142" s="213"/>
      <c r="H142" s="41"/>
    </row>
    <row r="143" spans="1:8">
      <c r="B143" s="52"/>
      <c r="E143" s="231"/>
      <c r="H143" s="61"/>
    </row>
    <row r="144" spans="1:8">
      <c r="B144" s="52"/>
      <c r="C144" s="207" t="s">
        <v>170</v>
      </c>
      <c r="D144" s="203"/>
      <c r="E144" s="235" t="s">
        <v>171</v>
      </c>
      <c r="F144" s="203"/>
      <c r="G144" s="208" t="s">
        <v>164</v>
      </c>
      <c r="H144" s="61"/>
    </row>
    <row r="145" spans="1:17" ht="55.7" customHeight="1">
      <c r="A145" s="43" t="s">
        <v>64</v>
      </c>
      <c r="B145" s="52" t="s">
        <v>97</v>
      </c>
      <c r="E145" s="231"/>
      <c r="H145" s="61"/>
    </row>
    <row r="146" spans="1:17">
      <c r="B146" s="52"/>
      <c r="E146" s="231"/>
      <c r="H146" s="61"/>
    </row>
    <row r="147" spans="1:17">
      <c r="B147" s="52" t="s">
        <v>41</v>
      </c>
      <c r="C147" s="214">
        <v>1</v>
      </c>
      <c r="E147" s="232"/>
      <c r="G147" s="213"/>
      <c r="H147" s="41"/>
    </row>
    <row r="148" spans="1:17">
      <c r="B148" s="52"/>
      <c r="E148" s="231"/>
      <c r="H148" s="61"/>
    </row>
    <row r="149" spans="1:17" s="64" customFormat="1" ht="63.75">
      <c r="A149" s="43" t="s">
        <v>65</v>
      </c>
      <c r="B149" s="52" t="s">
        <v>7</v>
      </c>
      <c r="C149" s="41"/>
      <c r="D149" s="41"/>
      <c r="E149" s="231"/>
      <c r="F149" s="41"/>
      <c r="G149" s="97"/>
      <c r="H149" s="61"/>
      <c r="I149" s="62"/>
      <c r="J149" s="63"/>
      <c r="M149" s="65"/>
      <c r="N149" s="65"/>
      <c r="O149" s="65"/>
      <c r="Q149" s="82"/>
    </row>
    <row r="150" spans="1:17">
      <c r="B150" s="52"/>
      <c r="C150" s="59"/>
      <c r="D150" s="59"/>
      <c r="E150" s="233"/>
      <c r="F150" s="59"/>
      <c r="G150" s="104"/>
      <c r="H150" s="64"/>
      <c r="Q150" s="87"/>
    </row>
    <row r="151" spans="1:17">
      <c r="B151" s="52" t="s">
        <v>39</v>
      </c>
      <c r="E151" s="231"/>
      <c r="G151" s="213"/>
      <c r="H151" s="41"/>
    </row>
    <row r="152" spans="1:17">
      <c r="B152" s="52"/>
      <c r="E152" s="231"/>
      <c r="H152" s="61"/>
    </row>
    <row r="153" spans="1:17" s="7" customFormat="1">
      <c r="A153" s="43"/>
      <c r="B153" s="60" t="s">
        <v>21</v>
      </c>
      <c r="C153" s="56"/>
      <c r="D153" s="56"/>
      <c r="E153" s="239"/>
      <c r="F153" s="56"/>
      <c r="G153" s="209"/>
      <c r="H153" s="49"/>
      <c r="I153" s="26"/>
      <c r="J153" s="22"/>
      <c r="M153" s="30"/>
      <c r="N153" s="30"/>
      <c r="O153" s="30"/>
      <c r="Q153" s="86"/>
    </row>
    <row r="154" spans="1:17" ht="15.95" customHeight="1">
      <c r="A154" s="47"/>
      <c r="B154" s="9"/>
      <c r="C154" s="56"/>
      <c r="D154" s="56"/>
      <c r="E154" s="239"/>
      <c r="F154" s="56"/>
      <c r="G154" s="100"/>
      <c r="Q154" s="86"/>
    </row>
    <row r="155" spans="1:17">
      <c r="A155" s="11" t="s">
        <v>42</v>
      </c>
      <c r="B155" s="9" t="s">
        <v>18</v>
      </c>
      <c r="C155" s="46"/>
      <c r="D155" s="7"/>
      <c r="E155" s="237"/>
      <c r="F155" s="7"/>
      <c r="G155" s="99"/>
      <c r="H155" s="7"/>
      <c r="Q155" s="91"/>
    </row>
    <row r="156" spans="1:17">
      <c r="A156" s="11"/>
      <c r="B156" s="9"/>
      <c r="C156" s="46"/>
      <c r="D156" s="7"/>
      <c r="E156" s="237"/>
      <c r="F156" s="7"/>
      <c r="G156" s="99"/>
      <c r="H156" s="7"/>
      <c r="Q156" s="91"/>
    </row>
    <row r="157" spans="1:17" ht="43.5" customHeight="1">
      <c r="A157" s="43" t="s">
        <v>112</v>
      </c>
      <c r="B157" s="73" t="s">
        <v>98</v>
      </c>
      <c r="E157" s="231"/>
      <c r="H157" s="61"/>
    </row>
    <row r="158" spans="1:17">
      <c r="B158" s="52"/>
      <c r="E158" s="231"/>
      <c r="H158" s="61"/>
    </row>
    <row r="159" spans="1:17">
      <c r="B159" s="52" t="s">
        <v>22</v>
      </c>
      <c r="C159" s="214">
        <v>91</v>
      </c>
      <c r="E159" s="232"/>
      <c r="G159" s="213"/>
      <c r="H159" s="41"/>
    </row>
    <row r="160" spans="1:17">
      <c r="B160" s="52"/>
      <c r="C160" s="120"/>
      <c r="E160" s="231"/>
      <c r="H160" s="41"/>
    </row>
    <row r="161" spans="1:17" ht="97.5" customHeight="1">
      <c r="A161" s="43" t="s">
        <v>78</v>
      </c>
      <c r="B161" s="73" t="s">
        <v>99</v>
      </c>
      <c r="E161" s="231"/>
      <c r="H161" s="61"/>
    </row>
    <row r="162" spans="1:17">
      <c r="B162" s="52"/>
      <c r="E162" s="231"/>
      <c r="H162" s="61"/>
    </row>
    <row r="163" spans="1:17">
      <c r="B163" s="52" t="s">
        <v>22</v>
      </c>
      <c r="C163" s="214">
        <v>79</v>
      </c>
      <c r="E163" s="230"/>
      <c r="G163" s="213"/>
      <c r="H163" s="41"/>
    </row>
    <row r="164" spans="1:17">
      <c r="B164" s="52"/>
      <c r="E164" s="231"/>
      <c r="H164" s="41"/>
    </row>
    <row r="165" spans="1:17" ht="96.75" customHeight="1">
      <c r="A165" s="43" t="s">
        <v>80</v>
      </c>
      <c r="B165" s="73" t="s">
        <v>100</v>
      </c>
      <c r="E165" s="231"/>
      <c r="H165" s="61"/>
      <c r="K165" s="10"/>
      <c r="M165" s="73"/>
    </row>
    <row r="166" spans="1:17">
      <c r="B166" s="52"/>
      <c r="E166" s="231"/>
      <c r="H166" s="61"/>
      <c r="K166" s="116"/>
      <c r="L166" s="116"/>
    </row>
    <row r="167" spans="1:17">
      <c r="B167" s="52" t="s">
        <v>22</v>
      </c>
      <c r="C167" s="214">
        <v>12</v>
      </c>
      <c r="E167" s="230"/>
      <c r="G167" s="213"/>
      <c r="H167" s="41"/>
    </row>
    <row r="168" spans="1:17" s="79" customFormat="1">
      <c r="A168" s="43"/>
      <c r="B168" s="52"/>
      <c r="C168" s="207" t="s">
        <v>170</v>
      </c>
      <c r="D168" s="203"/>
      <c r="E168" s="235" t="s">
        <v>171</v>
      </c>
      <c r="F168" s="203"/>
      <c r="G168" s="208" t="s">
        <v>164</v>
      </c>
      <c r="H168" s="41"/>
      <c r="Q168" s="95"/>
    </row>
    <row r="169" spans="1:17" s="79" customFormat="1" ht="102">
      <c r="A169" s="43" t="s">
        <v>101</v>
      </c>
      <c r="B169" s="10" t="s">
        <v>195</v>
      </c>
      <c r="C169" s="41"/>
      <c r="D169" s="41"/>
      <c r="E169" s="231"/>
      <c r="F169" s="41"/>
      <c r="G169" s="97"/>
      <c r="H169" s="125"/>
      <c r="K169" s="10"/>
      <c r="Q169" s="82"/>
    </row>
    <row r="170" spans="1:17" s="79" customFormat="1">
      <c r="A170" s="43"/>
      <c r="B170" s="10"/>
      <c r="C170" s="41"/>
      <c r="D170" s="41"/>
      <c r="E170" s="231"/>
      <c r="F170" s="41"/>
      <c r="G170" s="97"/>
      <c r="H170" s="125"/>
      <c r="K170" s="10"/>
      <c r="Q170" s="82"/>
    </row>
    <row r="171" spans="1:17" s="79" customFormat="1" ht="15.95" customHeight="1">
      <c r="A171" s="43"/>
      <c r="B171" s="52" t="s">
        <v>122</v>
      </c>
      <c r="C171" s="216">
        <v>1</v>
      </c>
      <c r="D171" s="41"/>
      <c r="E171" s="232"/>
      <c r="F171" s="41"/>
      <c r="G171" s="213"/>
      <c r="H171" s="41"/>
      <c r="Q171" s="95"/>
    </row>
    <row r="172" spans="1:17" s="79" customFormat="1">
      <c r="A172" s="43"/>
      <c r="B172" s="52" t="s">
        <v>117</v>
      </c>
      <c r="C172" s="216">
        <v>2</v>
      </c>
      <c r="D172" s="41"/>
      <c r="E172" s="232"/>
      <c r="F172" s="41"/>
      <c r="G172" s="213"/>
      <c r="H172" s="41"/>
      <c r="Q172" s="95"/>
    </row>
    <row r="173" spans="1:17" s="79" customFormat="1">
      <c r="A173" s="43"/>
      <c r="B173" s="52" t="s">
        <v>118</v>
      </c>
      <c r="C173" s="216">
        <v>1</v>
      </c>
      <c r="D173" s="41"/>
      <c r="E173" s="232"/>
      <c r="F173" s="41"/>
      <c r="G173" s="213"/>
      <c r="H173" s="41"/>
      <c r="Q173" s="95"/>
    </row>
    <row r="174" spans="1:17" s="79" customFormat="1">
      <c r="A174" s="43"/>
      <c r="B174" s="52"/>
      <c r="C174" s="124"/>
      <c r="D174" s="41"/>
      <c r="E174" s="231"/>
      <c r="F174" s="41"/>
      <c r="G174" s="97"/>
      <c r="H174" s="41"/>
      <c r="Q174" s="95"/>
    </row>
    <row r="175" spans="1:17" s="79" customFormat="1" ht="165.75">
      <c r="A175" s="43" t="s">
        <v>79</v>
      </c>
      <c r="B175" s="10" t="s">
        <v>194</v>
      </c>
      <c r="C175" s="41"/>
      <c r="D175" s="41"/>
      <c r="E175" s="231"/>
      <c r="F175" s="41"/>
      <c r="G175" s="97"/>
      <c r="H175" s="125"/>
      <c r="K175" s="10"/>
      <c r="Q175" s="82"/>
    </row>
    <row r="176" spans="1:17" s="79" customFormat="1">
      <c r="A176" s="43"/>
      <c r="B176" s="52"/>
      <c r="C176" s="41"/>
      <c r="D176" s="41"/>
      <c r="E176" s="231"/>
      <c r="F176" s="41"/>
      <c r="G176" s="97"/>
      <c r="H176" s="125"/>
      <c r="Q176" s="82"/>
    </row>
    <row r="177" spans="1:17" s="79" customFormat="1">
      <c r="A177" s="43"/>
      <c r="B177" s="52" t="s">
        <v>121</v>
      </c>
      <c r="C177" s="216">
        <f>C171</f>
        <v>1</v>
      </c>
      <c r="D177" s="41"/>
      <c r="E177" s="232"/>
      <c r="F177" s="41"/>
      <c r="G177" s="213"/>
      <c r="H177" s="41"/>
      <c r="Q177" s="95"/>
    </row>
    <row r="178" spans="1:17" s="79" customFormat="1">
      <c r="A178" s="43"/>
      <c r="B178" s="52" t="s">
        <v>117</v>
      </c>
      <c r="C178" s="216">
        <f>C172</f>
        <v>2</v>
      </c>
      <c r="D178" s="41"/>
      <c r="E178" s="232"/>
      <c r="F178" s="41"/>
      <c r="G178" s="213"/>
      <c r="H178" s="41"/>
      <c r="Q178" s="95"/>
    </row>
    <row r="179" spans="1:17" s="79" customFormat="1">
      <c r="A179" s="43"/>
      <c r="B179" s="52" t="s">
        <v>118</v>
      </c>
      <c r="C179" s="216">
        <f>C173</f>
        <v>1</v>
      </c>
      <c r="D179" s="41"/>
      <c r="E179" s="232"/>
      <c r="F179" s="41"/>
      <c r="G179" s="213"/>
      <c r="H179" s="41"/>
      <c r="Q179" s="95"/>
    </row>
    <row r="180" spans="1:17">
      <c r="B180" s="52"/>
      <c r="E180" s="231"/>
      <c r="H180" s="61"/>
      <c r="I180" s="38"/>
      <c r="J180" s="38"/>
      <c r="M180" s="38"/>
      <c r="N180" s="38"/>
      <c r="O180" s="38"/>
    </row>
    <row r="181" spans="1:17" ht="40.5" customHeight="1">
      <c r="A181" s="43" t="s">
        <v>1</v>
      </c>
      <c r="B181" s="52" t="s">
        <v>104</v>
      </c>
      <c r="E181" s="231"/>
      <c r="H181" s="61"/>
    </row>
    <row r="182" spans="1:17">
      <c r="B182" s="52"/>
      <c r="E182" s="231"/>
      <c r="H182" s="61"/>
    </row>
    <row r="183" spans="1:17">
      <c r="B183" s="52" t="s">
        <v>23</v>
      </c>
      <c r="C183" s="214">
        <v>4</v>
      </c>
      <c r="E183" s="232"/>
      <c r="G183" s="213"/>
      <c r="H183" s="41"/>
      <c r="Q183" s="95"/>
    </row>
    <row r="184" spans="1:17">
      <c r="B184" s="52"/>
      <c r="E184" s="231"/>
      <c r="H184" s="41"/>
      <c r="Q184" s="95"/>
    </row>
    <row r="185" spans="1:17" ht="30.75" customHeight="1">
      <c r="A185" s="43" t="s">
        <v>105</v>
      </c>
      <c r="B185" s="52" t="s">
        <v>103</v>
      </c>
      <c r="E185" s="231"/>
      <c r="H185" s="61"/>
    </row>
    <row r="186" spans="1:17">
      <c r="B186" s="52"/>
      <c r="E186" s="231"/>
      <c r="H186" s="49"/>
    </row>
    <row r="187" spans="1:17">
      <c r="B187" s="52" t="s">
        <v>22</v>
      </c>
      <c r="C187" s="214">
        <v>91</v>
      </c>
      <c r="E187" s="230"/>
      <c r="G187" s="213"/>
      <c r="H187" s="41"/>
    </row>
    <row r="188" spans="1:17">
      <c r="B188" s="52"/>
      <c r="E188" s="231"/>
      <c r="H188" s="41"/>
      <c r="Q188" s="95"/>
    </row>
    <row r="189" spans="1:17" ht="42.75" customHeight="1">
      <c r="A189" s="43" t="s">
        <v>2</v>
      </c>
      <c r="B189" s="52" t="s">
        <v>102</v>
      </c>
      <c r="E189" s="231"/>
      <c r="H189" s="61"/>
    </row>
    <row r="190" spans="1:17">
      <c r="B190" s="52"/>
      <c r="E190" s="231"/>
      <c r="H190" s="49"/>
    </row>
    <row r="191" spans="1:17">
      <c r="B191" s="52" t="s">
        <v>22</v>
      </c>
      <c r="C191" s="214">
        <v>91</v>
      </c>
      <c r="E191" s="230"/>
      <c r="G191" s="213"/>
      <c r="H191" s="41"/>
    </row>
    <row r="192" spans="1:17">
      <c r="B192" s="52"/>
      <c r="E192" s="240"/>
      <c r="H192" s="41"/>
    </row>
    <row r="193" spans="1:17" ht="22.5" customHeight="1">
      <c r="A193" s="43" t="s">
        <v>110</v>
      </c>
      <c r="B193" s="52" t="s">
        <v>106</v>
      </c>
      <c r="E193" s="231"/>
      <c r="H193" s="61"/>
    </row>
    <row r="194" spans="1:17">
      <c r="B194" s="52"/>
      <c r="E194" s="231"/>
      <c r="H194" s="49"/>
    </row>
    <row r="195" spans="1:17">
      <c r="B195" s="52" t="s">
        <v>22</v>
      </c>
      <c r="C195" s="214">
        <v>91</v>
      </c>
      <c r="E195" s="230"/>
      <c r="G195" s="213"/>
      <c r="H195" s="41"/>
    </row>
    <row r="196" spans="1:17">
      <c r="B196" s="52"/>
      <c r="E196" s="231"/>
      <c r="H196" s="61"/>
    </row>
    <row r="197" spans="1:17" s="5" customFormat="1">
      <c r="A197" s="6"/>
      <c r="B197" s="10"/>
      <c r="C197" s="207" t="s">
        <v>170</v>
      </c>
      <c r="D197" s="203"/>
      <c r="E197" s="235" t="s">
        <v>171</v>
      </c>
      <c r="F197" s="203"/>
      <c r="G197" s="208" t="s">
        <v>164</v>
      </c>
      <c r="H197" s="15"/>
      <c r="Q197" s="89"/>
    </row>
    <row r="198" spans="1:17" s="64" customFormat="1" ht="63.75">
      <c r="A198" s="43" t="s">
        <v>111</v>
      </c>
      <c r="B198" s="52" t="s">
        <v>9</v>
      </c>
      <c r="C198" s="41"/>
      <c r="D198" s="41"/>
      <c r="E198" s="231"/>
      <c r="F198" s="41"/>
      <c r="G198" s="97"/>
      <c r="H198" s="61"/>
      <c r="I198" s="62"/>
      <c r="J198" s="63"/>
      <c r="M198" s="65"/>
      <c r="N198" s="65"/>
      <c r="O198" s="65"/>
      <c r="Q198" s="82"/>
    </row>
    <row r="199" spans="1:17">
      <c r="B199" s="52"/>
      <c r="C199" s="59"/>
      <c r="D199" s="59"/>
      <c r="E199" s="233"/>
      <c r="F199" s="59"/>
      <c r="G199" s="104"/>
      <c r="H199" s="64"/>
      <c r="Q199" s="87"/>
    </row>
    <row r="200" spans="1:17">
      <c r="B200" s="52" t="s">
        <v>39</v>
      </c>
      <c r="E200" s="231"/>
      <c r="G200" s="213"/>
      <c r="H200" s="41"/>
      <c r="J200" s="97"/>
      <c r="K200" s="97"/>
    </row>
    <row r="201" spans="1:17">
      <c r="B201" s="52"/>
      <c r="E201" s="231"/>
      <c r="H201" s="61"/>
    </row>
    <row r="202" spans="1:17">
      <c r="B202" s="48" t="s">
        <v>24</v>
      </c>
      <c r="C202" s="56"/>
      <c r="D202" s="56"/>
      <c r="E202" s="239"/>
      <c r="F202" s="56"/>
      <c r="G202" s="209"/>
      <c r="Q202" s="86"/>
    </row>
    <row r="203" spans="1:17">
      <c r="B203" s="48"/>
      <c r="C203" s="56"/>
      <c r="D203" s="56"/>
      <c r="E203" s="239"/>
      <c r="F203" s="56"/>
      <c r="G203" s="100"/>
      <c r="Q203" s="86"/>
    </row>
    <row r="204" spans="1:17">
      <c r="A204" s="11" t="s">
        <v>0</v>
      </c>
      <c r="B204" s="9" t="s">
        <v>40</v>
      </c>
      <c r="C204" s="46"/>
      <c r="D204" s="7"/>
      <c r="E204" s="237"/>
      <c r="F204" s="7"/>
      <c r="G204" s="99"/>
      <c r="H204" s="41"/>
      <c r="Q204" s="91"/>
    </row>
    <row r="205" spans="1:17">
      <c r="E205" s="231"/>
      <c r="H205" s="61"/>
    </row>
    <row r="206" spans="1:17" ht="51">
      <c r="A206" s="43" t="s">
        <v>3</v>
      </c>
      <c r="B206" s="53" t="s">
        <v>72</v>
      </c>
      <c r="E206" s="231"/>
      <c r="H206" s="61"/>
    </row>
    <row r="207" spans="1:17">
      <c r="E207" s="231"/>
      <c r="H207" s="61"/>
    </row>
    <row r="208" spans="1:17">
      <c r="B208" s="52" t="s">
        <v>23</v>
      </c>
      <c r="C208" s="214">
        <v>4</v>
      </c>
      <c r="E208" s="230"/>
      <c r="G208" s="213"/>
      <c r="H208" s="41"/>
    </row>
    <row r="209" spans="1:17">
      <c r="H209" s="61"/>
    </row>
    <row r="210" spans="1:17">
      <c r="A210" s="47"/>
      <c r="B210" s="9" t="s">
        <v>44</v>
      </c>
      <c r="C210" s="56"/>
      <c r="D210" s="56"/>
      <c r="E210" s="112"/>
      <c r="F210" s="56"/>
      <c r="G210" s="209"/>
      <c r="Q210" s="86"/>
    </row>
    <row r="211" spans="1:17">
      <c r="H211" s="61"/>
    </row>
    <row r="212" spans="1:17">
      <c r="H212" s="61"/>
    </row>
  </sheetData>
  <sheetProtection selectLockedCells="1"/>
  <mergeCells count="2">
    <mergeCell ref="E23:G23"/>
    <mergeCell ref="E24:G24"/>
  </mergeCells>
  <conditionalFormatting sqref="G14:G18 C42:G66 C69:G93 C99:G118 C122:G130 C132:G143 C147:G167 C169:G172 C178:G195 C200:G202">
    <cfRule type="cellIs" dxfId="9" priority="4" stopIfTrue="1" operator="greaterThan">
      <formula>0</formula>
    </cfRule>
  </conditionalFormatting>
  <pageMargins left="1.1811023622047245" right="0.15748031496062992" top="0.59055118110236227" bottom="0.59055118110236227" header="0.39370078740157483" footer="0.39370078740157483"/>
  <pageSetup paperSize="9" orientation="portrait" useFirstPageNumber="1" r:id="rId1"/>
  <headerFooter alignWithMargins="0">
    <oddHeader>&amp;R&amp;"Arial,Navadno"&amp;9KANAL PV7</oddHeader>
    <oddFooter>&amp;C&amp;"Arial,Navadno"&amp;10&amp;P</oddFooter>
  </headerFooter>
  <rowBreaks count="7" manualBreakCount="7">
    <brk id="34" max="6" man="1"/>
    <brk id="66" max="6" man="1"/>
    <brk id="94" max="6" man="1"/>
    <brk id="118" max="6" man="1"/>
    <brk id="130" max="6" man="1"/>
    <brk id="143" max="6" man="1"/>
    <brk id="167" max="6"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Q210"/>
  <sheetViews>
    <sheetView view="pageBreakPreview" topLeftCell="A20" zoomScale="60" zoomScaleNormal="100" workbookViewId="0">
      <selection activeCell="E42" sqref="E42:E206"/>
    </sheetView>
  </sheetViews>
  <sheetFormatPr defaultColWidth="8.6640625" defaultRowHeight="15.75"/>
  <cols>
    <col min="1" max="1" width="6.5546875" style="43" customWidth="1"/>
    <col min="2" max="2" width="27.44140625" style="53" customWidth="1"/>
    <col min="3" max="3" width="7.44140625" style="41" customWidth="1"/>
    <col min="4" max="4" width="1.109375" style="41" customWidth="1"/>
    <col min="5" max="5" width="11.109375" style="107" customWidth="1"/>
    <col min="6" max="6" width="3.44140625" style="41" customWidth="1"/>
    <col min="7" max="7" width="14" style="97" customWidth="1"/>
    <col min="8" max="8" width="3.6640625" style="38" customWidth="1"/>
    <col min="9" max="9" width="14.88671875" style="36" customWidth="1"/>
    <col min="10" max="10" width="8.6640625" style="37" customWidth="1"/>
    <col min="11" max="11" width="25.5546875" style="38" customWidth="1"/>
    <col min="12" max="12" width="15.5546875" style="38" customWidth="1"/>
    <col min="13" max="15" width="8.6640625" style="39" customWidth="1"/>
    <col min="16" max="16" width="8.6640625" style="38" customWidth="1"/>
    <col min="17" max="17" width="11.109375" style="82" customWidth="1"/>
    <col min="18" max="16384" width="8.6640625" style="38"/>
  </cols>
  <sheetData>
    <row r="1" spans="1:17" s="79" customFormat="1" ht="15.95" customHeight="1">
      <c r="A1" s="34"/>
      <c r="B1" s="35" t="s">
        <v>11</v>
      </c>
      <c r="C1" s="1" t="s">
        <v>123</v>
      </c>
      <c r="D1" s="33"/>
      <c r="E1" s="33"/>
      <c r="F1" s="2"/>
      <c r="G1" s="96"/>
      <c r="H1" s="78"/>
      <c r="Q1" s="90"/>
    </row>
    <row r="2" spans="1:17" s="79" customFormat="1" ht="15.95" customHeight="1">
      <c r="A2" s="34"/>
      <c r="B2" s="35"/>
      <c r="C2" s="1" t="s">
        <v>124</v>
      </c>
      <c r="D2" s="33"/>
      <c r="E2" s="33"/>
      <c r="F2" s="2"/>
      <c r="G2" s="96"/>
      <c r="H2" s="78"/>
      <c r="Q2" s="90"/>
    </row>
    <row r="3" spans="1:17" s="79" customFormat="1" ht="15.95" customHeight="1">
      <c r="A3" s="34"/>
      <c r="B3" s="35" t="s">
        <v>8</v>
      </c>
      <c r="C3" s="40" t="s">
        <v>225</v>
      </c>
      <c r="D3" s="33"/>
      <c r="E3" s="106"/>
      <c r="F3" s="2"/>
      <c r="G3" s="96"/>
      <c r="H3" s="78"/>
      <c r="Q3" s="90"/>
    </row>
    <row r="4" spans="1:17" s="79" customFormat="1">
      <c r="A4" s="34"/>
      <c r="B4" s="35" t="s">
        <v>12</v>
      </c>
      <c r="C4" s="40" t="s">
        <v>207</v>
      </c>
      <c r="D4" s="41"/>
      <c r="E4" s="107"/>
      <c r="F4" s="41"/>
      <c r="G4" s="97"/>
      <c r="Q4" s="82"/>
    </row>
    <row r="5" spans="1:17" s="79" customFormat="1">
      <c r="A5" s="34"/>
      <c r="B5" s="35" t="s">
        <v>13</v>
      </c>
      <c r="C5" s="1" t="s">
        <v>172</v>
      </c>
      <c r="D5" s="33"/>
      <c r="E5" s="106"/>
      <c r="F5" s="2"/>
      <c r="G5" s="97"/>
      <c r="Q5" s="90"/>
    </row>
    <row r="6" spans="1:17">
      <c r="A6" s="34"/>
      <c r="B6" s="35"/>
      <c r="C6" s="42" t="s">
        <v>173</v>
      </c>
    </row>
    <row r="7" spans="1:17">
      <c r="A7" s="34"/>
      <c r="B7" s="35"/>
      <c r="C7" s="42"/>
    </row>
    <row r="9" spans="1:17" ht="18">
      <c r="A9" s="43" t="s">
        <v>14</v>
      </c>
      <c r="B9" s="44" t="s">
        <v>52</v>
      </c>
      <c r="C9" s="45"/>
      <c r="D9" s="45"/>
      <c r="E9" s="108"/>
      <c r="F9" s="45"/>
      <c r="G9" s="98"/>
      <c r="Q9" s="83"/>
    </row>
    <row r="10" spans="1:17">
      <c r="B10" s="45"/>
      <c r="C10" s="45"/>
      <c r="D10" s="45"/>
      <c r="E10" s="108"/>
      <c r="F10" s="45"/>
      <c r="G10" s="98"/>
      <c r="Q10" s="83"/>
    </row>
    <row r="12" spans="1:17" s="7" customFormat="1">
      <c r="A12" s="8" t="s">
        <v>15</v>
      </c>
      <c r="B12" s="9" t="s">
        <v>16</v>
      </c>
      <c r="C12" s="46"/>
      <c r="E12" s="109"/>
      <c r="G12" s="99"/>
      <c r="I12" s="26"/>
      <c r="J12" s="22"/>
      <c r="M12" s="30"/>
      <c r="N12" s="30"/>
      <c r="O12" s="30"/>
      <c r="Q12" s="91"/>
    </row>
    <row r="13" spans="1:17" s="7" customFormat="1">
      <c r="A13" s="8"/>
      <c r="B13" s="9"/>
      <c r="C13" s="46"/>
      <c r="E13" s="109"/>
      <c r="G13" s="99"/>
      <c r="I13" s="26"/>
      <c r="J13" s="22"/>
      <c r="M13" s="30"/>
      <c r="N13" s="30"/>
      <c r="O13" s="30"/>
      <c r="Q13" s="91"/>
    </row>
    <row r="14" spans="1:17" s="7" customFormat="1">
      <c r="A14" s="47" t="s">
        <v>27</v>
      </c>
      <c r="B14" s="48" t="s">
        <v>26</v>
      </c>
      <c r="C14" s="49"/>
      <c r="D14" s="49"/>
      <c r="E14" s="110"/>
      <c r="F14" s="49"/>
      <c r="G14" s="209"/>
      <c r="H14" s="80"/>
      <c r="I14" s="26"/>
      <c r="J14" s="22"/>
      <c r="K14" s="119"/>
      <c r="M14" s="30"/>
      <c r="N14" s="30"/>
      <c r="O14" s="30"/>
      <c r="Q14" s="84"/>
    </row>
    <row r="15" spans="1:17">
      <c r="A15" s="47" t="s">
        <v>32</v>
      </c>
      <c r="B15" s="48" t="s">
        <v>17</v>
      </c>
      <c r="C15" s="49"/>
      <c r="D15" s="49"/>
      <c r="E15" s="110"/>
      <c r="F15" s="49"/>
      <c r="G15" s="209"/>
      <c r="H15" s="80"/>
      <c r="K15" s="116"/>
      <c r="Q15" s="84"/>
    </row>
    <row r="16" spans="1:17">
      <c r="A16" s="47" t="s">
        <v>42</v>
      </c>
      <c r="B16" s="48" t="s">
        <v>18</v>
      </c>
      <c r="C16" s="49"/>
      <c r="D16" s="49"/>
      <c r="E16" s="110"/>
      <c r="F16" s="49"/>
      <c r="G16" s="209"/>
      <c r="H16" s="80"/>
      <c r="K16" s="116"/>
      <c r="Q16" s="84"/>
    </row>
    <row r="17" spans="1:17" s="79" customFormat="1" ht="31.5">
      <c r="A17" s="47" t="s">
        <v>0</v>
      </c>
      <c r="B17" s="48" t="s">
        <v>40</v>
      </c>
      <c r="C17" s="49"/>
      <c r="D17" s="49"/>
      <c r="E17" s="110"/>
      <c r="F17" s="49"/>
      <c r="G17" s="209"/>
      <c r="H17" s="80"/>
      <c r="Q17" s="84"/>
    </row>
    <row r="18" spans="1:17">
      <c r="A18" s="47"/>
      <c r="B18" s="48"/>
      <c r="C18" s="49"/>
      <c r="D18" s="49"/>
      <c r="E18" s="110"/>
      <c r="F18" s="49"/>
      <c r="G18" s="100"/>
      <c r="K18" s="116"/>
      <c r="Q18" s="84"/>
    </row>
    <row r="19" spans="1:17" ht="16.5" thickBot="1">
      <c r="A19" s="47"/>
      <c r="B19" s="50" t="s">
        <v>53</v>
      </c>
      <c r="C19" s="51"/>
      <c r="D19" s="51"/>
      <c r="E19" s="111"/>
      <c r="F19" s="51"/>
      <c r="G19" s="210"/>
      <c r="H19" s="80"/>
      <c r="K19" s="117"/>
      <c r="Q19" s="85"/>
    </row>
    <row r="23" spans="1:17" ht="15.95" customHeight="1">
      <c r="B23" s="53" t="s">
        <v>81</v>
      </c>
      <c r="E23" s="458"/>
      <c r="F23" s="458"/>
      <c r="G23" s="458"/>
    </row>
    <row r="24" spans="1:17" ht="84.75" customHeight="1">
      <c r="B24" s="53" t="s">
        <v>84</v>
      </c>
      <c r="E24" s="458"/>
      <c r="F24" s="458"/>
      <c r="G24" s="458"/>
    </row>
    <row r="26" spans="1:17">
      <c r="B26" s="53" t="s">
        <v>82</v>
      </c>
    </row>
    <row r="27" spans="1:17" ht="63.75">
      <c r="B27" s="53" t="s">
        <v>83</v>
      </c>
    </row>
    <row r="29" spans="1:17">
      <c r="K29" s="53"/>
    </row>
    <row r="30" spans="1:17">
      <c r="K30" s="53"/>
    </row>
    <row r="34" spans="1:17">
      <c r="B34" s="53" t="s">
        <v>166</v>
      </c>
    </row>
    <row r="35" spans="1:17" s="7" customFormat="1">
      <c r="A35" s="43"/>
      <c r="B35" s="53"/>
      <c r="C35" s="41"/>
      <c r="D35" s="41"/>
      <c r="E35" s="107"/>
      <c r="F35" s="41"/>
      <c r="G35" s="97"/>
      <c r="H35" s="38"/>
      <c r="I35" s="26"/>
      <c r="J35" s="22"/>
      <c r="M35" s="30"/>
      <c r="N35" s="30"/>
      <c r="O35" s="30"/>
      <c r="Q35" s="82"/>
    </row>
    <row r="36" spans="1:17">
      <c r="A36" s="11" t="s">
        <v>19</v>
      </c>
      <c r="B36" s="9" t="s">
        <v>16</v>
      </c>
      <c r="C36" s="46"/>
      <c r="D36" s="7"/>
      <c r="E36" s="109"/>
      <c r="F36" s="7"/>
      <c r="G36" s="99"/>
      <c r="H36" s="7"/>
      <c r="Q36" s="91"/>
    </row>
    <row r="37" spans="1:17" s="7" customFormat="1">
      <c r="A37" s="43"/>
      <c r="B37" s="55"/>
      <c r="C37" s="56"/>
      <c r="D37" s="56"/>
      <c r="E37" s="112"/>
      <c r="F37" s="56"/>
      <c r="G37" s="101"/>
      <c r="H37" s="38"/>
      <c r="I37" s="26"/>
      <c r="J37" s="22"/>
      <c r="M37" s="30"/>
      <c r="N37" s="30"/>
      <c r="O37" s="30"/>
      <c r="Q37" s="86"/>
    </row>
    <row r="38" spans="1:17" s="7" customFormat="1">
      <c r="A38" s="11" t="s">
        <v>27</v>
      </c>
      <c r="B38" s="9" t="s">
        <v>26</v>
      </c>
      <c r="C38" s="46"/>
      <c r="E38" s="109"/>
      <c r="G38" s="99"/>
      <c r="I38" s="26"/>
      <c r="J38" s="22"/>
      <c r="M38" s="30"/>
      <c r="N38" s="30"/>
      <c r="O38" s="30"/>
      <c r="Q38" s="91"/>
    </row>
    <row r="39" spans="1:17" s="7" customFormat="1">
      <c r="A39" s="8"/>
      <c r="B39" s="9"/>
      <c r="C39" s="207" t="s">
        <v>170</v>
      </c>
      <c r="D39" s="203"/>
      <c r="E39" s="208" t="s">
        <v>171</v>
      </c>
      <c r="F39" s="203"/>
      <c r="G39" s="208" t="s">
        <v>164</v>
      </c>
      <c r="I39" s="26"/>
      <c r="J39" s="22"/>
      <c r="M39" s="30"/>
      <c r="N39" s="30"/>
      <c r="O39" s="30"/>
      <c r="Q39" s="91"/>
    </row>
    <row r="40" spans="1:17" s="17" customFormat="1" ht="39">
      <c r="A40" s="12" t="s">
        <v>28</v>
      </c>
      <c r="B40" s="13" t="s">
        <v>139</v>
      </c>
      <c r="C40" s="46"/>
      <c r="D40" s="7"/>
      <c r="E40" s="109"/>
      <c r="F40" s="7"/>
      <c r="G40" s="99"/>
      <c r="H40" s="7"/>
      <c r="I40" s="27"/>
      <c r="J40" s="23"/>
      <c r="M40" s="31"/>
      <c r="N40" s="31"/>
      <c r="O40" s="31"/>
      <c r="Q40" s="91"/>
    </row>
    <row r="41" spans="1:17" s="7" customFormat="1">
      <c r="A41" s="18"/>
      <c r="B41" s="13"/>
      <c r="C41" s="57"/>
      <c r="D41" s="17"/>
      <c r="E41" s="113"/>
      <c r="F41" s="17"/>
      <c r="G41" s="102"/>
      <c r="H41" s="17"/>
      <c r="I41" s="26"/>
      <c r="J41" s="22"/>
      <c r="M41" s="30"/>
      <c r="N41" s="30"/>
      <c r="O41" s="30"/>
      <c r="Q41" s="92"/>
    </row>
    <row r="42" spans="1:17" s="7" customFormat="1">
      <c r="A42" s="8"/>
      <c r="B42" s="52" t="s">
        <v>22</v>
      </c>
      <c r="C42" s="214">
        <v>82</v>
      </c>
      <c r="D42" s="41"/>
      <c r="E42" s="230"/>
      <c r="F42" s="81"/>
      <c r="G42" s="213"/>
      <c r="H42" s="81"/>
      <c r="I42" s="26"/>
      <c r="J42" s="22"/>
      <c r="M42" s="30"/>
      <c r="N42" s="30"/>
      <c r="O42" s="30"/>
      <c r="Q42" s="82"/>
    </row>
    <row r="43" spans="1:17" s="7" customFormat="1">
      <c r="A43" s="8"/>
      <c r="B43" s="14"/>
      <c r="C43" s="46"/>
      <c r="E43" s="231"/>
      <c r="G43" s="99"/>
      <c r="I43" s="26"/>
      <c r="J43" s="22"/>
      <c r="M43" s="30"/>
      <c r="N43" s="30"/>
      <c r="O43" s="30"/>
      <c r="Q43" s="91"/>
    </row>
    <row r="44" spans="1:17" s="19" customFormat="1" ht="76.5">
      <c r="A44" s="12" t="s">
        <v>30</v>
      </c>
      <c r="B44" s="127" t="s">
        <v>140</v>
      </c>
      <c r="C44" s="46"/>
      <c r="D44" s="7"/>
      <c r="E44" s="231"/>
      <c r="F44" s="7"/>
      <c r="G44" s="99"/>
      <c r="H44" s="7"/>
      <c r="I44" s="28"/>
      <c r="J44" s="24"/>
      <c r="K44" s="52"/>
      <c r="M44" s="32"/>
      <c r="N44" s="32"/>
      <c r="O44" s="32"/>
      <c r="Q44" s="91"/>
    </row>
    <row r="45" spans="1:17" s="7" customFormat="1">
      <c r="A45" s="20"/>
      <c r="B45" s="52"/>
      <c r="C45" s="58"/>
      <c r="D45" s="19"/>
      <c r="E45" s="231"/>
      <c r="F45" s="19"/>
      <c r="G45" s="103"/>
      <c r="H45" s="19"/>
      <c r="I45" s="26"/>
      <c r="J45" s="22"/>
      <c r="M45" s="30"/>
      <c r="N45" s="30"/>
      <c r="O45" s="30"/>
      <c r="Q45" s="93"/>
    </row>
    <row r="46" spans="1:17" s="7" customFormat="1">
      <c r="A46" s="8"/>
      <c r="B46" s="52" t="s">
        <v>55</v>
      </c>
      <c r="C46" s="214">
        <v>1</v>
      </c>
      <c r="D46" s="41"/>
      <c r="E46" s="232"/>
      <c r="F46" s="81"/>
      <c r="G46" s="213"/>
      <c r="H46" s="81"/>
      <c r="I46" s="26"/>
      <c r="J46" s="22"/>
      <c r="M46" s="30"/>
      <c r="N46" s="30"/>
      <c r="O46" s="30"/>
      <c r="Q46" s="82"/>
    </row>
    <row r="47" spans="1:17" s="7" customFormat="1">
      <c r="A47" s="8"/>
      <c r="B47" s="52"/>
      <c r="C47" s="41"/>
      <c r="D47" s="41"/>
      <c r="E47" s="231"/>
      <c r="F47" s="41"/>
      <c r="G47" s="97"/>
      <c r="H47" s="41"/>
      <c r="I47" s="26"/>
      <c r="J47" s="22"/>
      <c r="M47" s="30"/>
      <c r="N47" s="30"/>
      <c r="O47" s="30"/>
      <c r="Q47" s="82"/>
    </row>
    <row r="48" spans="1:17" s="19" customFormat="1" ht="57" customHeight="1">
      <c r="A48" s="12" t="s">
        <v>31</v>
      </c>
      <c r="B48" s="52" t="s">
        <v>66</v>
      </c>
      <c r="C48" s="46"/>
      <c r="D48" s="7"/>
      <c r="E48" s="237"/>
      <c r="F48" s="7"/>
      <c r="G48" s="99"/>
      <c r="H48" s="7"/>
      <c r="I48" s="28"/>
      <c r="J48" s="24"/>
      <c r="M48" s="32"/>
      <c r="N48" s="32"/>
      <c r="O48" s="32"/>
      <c r="Q48" s="91"/>
    </row>
    <row r="49" spans="1:17" s="7" customFormat="1">
      <c r="A49" s="20"/>
      <c r="B49" s="52"/>
      <c r="C49" s="58"/>
      <c r="D49" s="19"/>
      <c r="E49" s="250"/>
      <c r="F49" s="19"/>
      <c r="G49" s="103"/>
      <c r="H49" s="19"/>
      <c r="I49" s="26"/>
      <c r="J49" s="22"/>
      <c r="M49" s="30"/>
      <c r="N49" s="30"/>
      <c r="O49" s="30"/>
      <c r="Q49" s="93"/>
    </row>
    <row r="50" spans="1:17" s="7" customFormat="1">
      <c r="A50" s="8"/>
      <c r="B50" s="52" t="s">
        <v>23</v>
      </c>
      <c r="C50" s="214">
        <v>3</v>
      </c>
      <c r="D50" s="41"/>
      <c r="E50" s="232"/>
      <c r="F50" s="81"/>
      <c r="G50" s="213"/>
      <c r="H50" s="81"/>
      <c r="I50" s="26"/>
      <c r="J50" s="22"/>
      <c r="M50" s="30"/>
      <c r="N50" s="30"/>
      <c r="O50" s="30"/>
      <c r="Q50" s="82"/>
    </row>
    <row r="51" spans="1:17" s="7" customFormat="1">
      <c r="A51" s="8"/>
      <c r="B51" s="52"/>
      <c r="C51" s="41"/>
      <c r="D51" s="41"/>
      <c r="E51" s="231"/>
      <c r="F51" s="41"/>
      <c r="G51" s="97"/>
      <c r="H51" s="41"/>
      <c r="I51" s="26"/>
      <c r="J51" s="22"/>
      <c r="M51" s="30"/>
      <c r="N51" s="30"/>
      <c r="O51" s="30"/>
      <c r="Q51" s="82"/>
    </row>
    <row r="52" spans="1:17" s="19" customFormat="1" ht="57.75" customHeight="1">
      <c r="A52" s="12" t="s">
        <v>56</v>
      </c>
      <c r="B52" s="52" t="s">
        <v>68</v>
      </c>
      <c r="C52" s="41"/>
      <c r="D52" s="41"/>
      <c r="E52" s="231"/>
      <c r="F52" s="41"/>
      <c r="G52" s="97"/>
      <c r="H52" s="7"/>
      <c r="I52" s="28"/>
      <c r="J52" s="24"/>
      <c r="M52" s="32"/>
      <c r="N52" s="32"/>
      <c r="O52" s="32"/>
      <c r="Q52" s="82"/>
    </row>
    <row r="53" spans="1:17" s="7" customFormat="1">
      <c r="A53" s="20"/>
      <c r="B53" s="52"/>
      <c r="C53" s="59"/>
      <c r="D53" s="59"/>
      <c r="E53" s="231"/>
      <c r="F53" s="59"/>
      <c r="G53" s="104"/>
      <c r="H53" s="19"/>
      <c r="I53" s="26"/>
      <c r="J53" s="22"/>
      <c r="M53" s="30"/>
      <c r="N53" s="30"/>
      <c r="O53" s="30"/>
      <c r="Q53" s="87"/>
    </row>
    <row r="54" spans="1:17" s="7" customFormat="1">
      <c r="A54" s="8"/>
      <c r="B54" s="52" t="s">
        <v>23</v>
      </c>
      <c r="C54" s="214">
        <f>INT(C42/20)+1</f>
        <v>5</v>
      </c>
      <c r="D54" s="41"/>
      <c r="E54" s="232"/>
      <c r="F54" s="81"/>
      <c r="G54" s="213"/>
      <c r="H54" s="81"/>
      <c r="I54" s="26"/>
      <c r="J54" s="22"/>
      <c r="M54" s="30"/>
      <c r="N54" s="30"/>
      <c r="O54" s="30"/>
      <c r="Q54" s="82"/>
    </row>
    <row r="55" spans="1:17" s="7" customFormat="1">
      <c r="A55" s="8"/>
      <c r="B55" s="52"/>
      <c r="C55" s="41"/>
      <c r="D55" s="41"/>
      <c r="E55" s="231"/>
      <c r="F55" s="41"/>
      <c r="G55" s="97"/>
      <c r="H55" s="41"/>
      <c r="I55" s="26"/>
      <c r="J55" s="22"/>
      <c r="M55" s="30"/>
      <c r="N55" s="30"/>
      <c r="O55" s="30"/>
      <c r="Q55" s="82"/>
    </row>
    <row r="56" spans="1:17" s="7" customFormat="1" ht="38.25">
      <c r="A56" s="12" t="s">
        <v>5</v>
      </c>
      <c r="B56" s="52" t="s">
        <v>6</v>
      </c>
      <c r="C56" s="41"/>
      <c r="D56" s="41"/>
      <c r="E56" s="231"/>
      <c r="F56" s="41"/>
      <c r="G56" s="97"/>
      <c r="I56" s="26"/>
      <c r="J56" s="22"/>
      <c r="M56" s="30"/>
      <c r="N56" s="30"/>
      <c r="O56" s="30"/>
      <c r="Q56" s="82"/>
    </row>
    <row r="57" spans="1:17" s="7" customFormat="1">
      <c r="A57" s="20"/>
      <c r="B57" s="52"/>
      <c r="C57" s="59"/>
      <c r="D57" s="59"/>
      <c r="E57" s="233"/>
      <c r="F57" s="59"/>
      <c r="G57" s="104"/>
      <c r="H57" s="19"/>
      <c r="I57" s="26"/>
      <c r="J57" s="22"/>
      <c r="M57" s="30"/>
      <c r="N57" s="30"/>
      <c r="O57" s="30"/>
      <c r="Q57" s="87"/>
    </row>
    <row r="58" spans="1:17" s="7" customFormat="1">
      <c r="A58" s="8"/>
      <c r="B58" s="52" t="s">
        <v>29</v>
      </c>
      <c r="C58" s="214">
        <v>1</v>
      </c>
      <c r="D58" s="41"/>
      <c r="E58" s="232"/>
      <c r="F58" s="81"/>
      <c r="G58" s="213"/>
      <c r="H58" s="81"/>
      <c r="I58" s="26"/>
      <c r="J58" s="22"/>
      <c r="M58" s="30"/>
      <c r="N58" s="30"/>
      <c r="O58" s="30"/>
      <c r="Q58" s="82"/>
    </row>
    <row r="59" spans="1:17" s="7" customFormat="1">
      <c r="A59" s="8"/>
      <c r="B59" s="52"/>
      <c r="C59" s="41"/>
      <c r="D59" s="41"/>
      <c r="E59" s="231"/>
      <c r="F59" s="41"/>
      <c r="G59" s="97"/>
      <c r="H59" s="41"/>
      <c r="I59" s="26"/>
      <c r="J59" s="22"/>
      <c r="M59" s="30"/>
      <c r="N59" s="30"/>
      <c r="O59" s="30"/>
      <c r="Q59" s="82"/>
    </row>
    <row r="60" spans="1:17" s="19" customFormat="1" ht="48" customHeight="1">
      <c r="A60" s="12" t="s">
        <v>75</v>
      </c>
      <c r="B60" s="52" t="s">
        <v>136</v>
      </c>
      <c r="C60" s="41"/>
      <c r="D60" s="41"/>
      <c r="E60" s="231"/>
      <c r="F60" s="41"/>
      <c r="G60" s="97"/>
      <c r="H60" s="7"/>
      <c r="I60" s="28"/>
      <c r="J60" s="24"/>
      <c r="M60" s="32"/>
      <c r="N60" s="32"/>
      <c r="O60" s="32"/>
      <c r="Q60" s="82"/>
    </row>
    <row r="61" spans="1:17" s="7" customFormat="1">
      <c r="A61" s="20"/>
      <c r="B61" s="52"/>
      <c r="C61" s="59"/>
      <c r="D61" s="59"/>
      <c r="E61" s="233"/>
      <c r="F61" s="59"/>
      <c r="G61" s="104"/>
      <c r="H61" s="19"/>
      <c r="I61" s="26"/>
      <c r="J61" s="22"/>
      <c r="M61" s="30"/>
      <c r="N61" s="30"/>
      <c r="O61" s="30"/>
      <c r="Q61" s="87"/>
    </row>
    <row r="62" spans="1:17" s="7" customFormat="1">
      <c r="A62" s="8"/>
      <c r="B62" s="52" t="s">
        <v>23</v>
      </c>
      <c r="C62" s="214">
        <v>1</v>
      </c>
      <c r="D62" s="41"/>
      <c r="E62" s="232"/>
      <c r="F62" s="81"/>
      <c r="G62" s="213"/>
      <c r="H62" s="81"/>
      <c r="I62" s="26"/>
      <c r="J62" s="22"/>
      <c r="M62" s="30"/>
      <c r="N62" s="30"/>
      <c r="O62" s="30"/>
      <c r="Q62" s="82"/>
    </row>
    <row r="63" spans="1:17" s="7" customFormat="1">
      <c r="A63" s="8"/>
      <c r="B63" s="52"/>
      <c r="C63" s="41"/>
      <c r="D63" s="41"/>
      <c r="E63" s="231"/>
      <c r="F63" s="81"/>
      <c r="G63" s="97"/>
      <c r="H63" s="81"/>
      <c r="I63" s="26"/>
      <c r="J63" s="22"/>
      <c r="M63" s="30"/>
      <c r="N63" s="30"/>
      <c r="O63" s="30"/>
      <c r="Q63" s="82"/>
    </row>
    <row r="64" spans="1:17" s="19" customFormat="1" ht="34.5" customHeight="1">
      <c r="A64" s="12" t="s">
        <v>137</v>
      </c>
      <c r="B64" s="52" t="s">
        <v>138</v>
      </c>
      <c r="C64" s="41"/>
      <c r="D64" s="41"/>
      <c r="E64" s="231"/>
      <c r="F64" s="41"/>
      <c r="G64" s="97"/>
      <c r="H64" s="7"/>
      <c r="I64" s="28"/>
      <c r="J64" s="24"/>
      <c r="M64" s="32"/>
      <c r="N64" s="32"/>
      <c r="O64" s="32"/>
      <c r="Q64" s="82"/>
    </row>
    <row r="65" spans="1:17" s="7" customFormat="1">
      <c r="A65" s="20"/>
      <c r="B65" s="52"/>
      <c r="C65" s="59"/>
      <c r="D65" s="59"/>
      <c r="E65" s="233"/>
      <c r="F65" s="59"/>
      <c r="G65" s="104"/>
      <c r="H65" s="19"/>
      <c r="I65" s="26"/>
      <c r="J65" s="22"/>
      <c r="M65" s="30"/>
      <c r="N65" s="30"/>
      <c r="O65" s="30"/>
      <c r="Q65" s="87"/>
    </row>
    <row r="66" spans="1:17" s="7" customFormat="1">
      <c r="A66" s="8"/>
      <c r="B66" s="52" t="s">
        <v>71</v>
      </c>
      <c r="C66" s="214">
        <v>82</v>
      </c>
      <c r="D66" s="41"/>
      <c r="E66" s="232"/>
      <c r="F66" s="81"/>
      <c r="G66" s="213"/>
      <c r="H66" s="81"/>
      <c r="I66" s="26"/>
      <c r="J66" s="22"/>
      <c r="M66" s="30"/>
      <c r="N66" s="30"/>
      <c r="O66" s="30"/>
      <c r="Q66" s="82"/>
    </row>
    <row r="67" spans="1:17" s="7" customFormat="1">
      <c r="A67" s="8"/>
      <c r="B67" s="52"/>
      <c r="C67" s="207" t="s">
        <v>170</v>
      </c>
      <c r="D67" s="203"/>
      <c r="E67" s="235" t="s">
        <v>171</v>
      </c>
      <c r="F67" s="203"/>
      <c r="G67" s="208" t="s">
        <v>164</v>
      </c>
      <c r="H67" s="41"/>
      <c r="I67" s="26"/>
      <c r="J67" s="22"/>
      <c r="M67" s="30"/>
      <c r="N67" s="30"/>
      <c r="O67" s="30"/>
      <c r="Q67" s="82"/>
    </row>
    <row r="68" spans="1:17" s="7" customFormat="1" ht="86.25" customHeight="1">
      <c r="A68" s="12" t="s">
        <v>54</v>
      </c>
      <c r="B68" s="52" t="s">
        <v>226</v>
      </c>
      <c r="C68" s="41"/>
      <c r="D68" s="41"/>
      <c r="E68" s="231"/>
      <c r="F68" s="41"/>
      <c r="G68" s="97"/>
      <c r="I68" s="26"/>
      <c r="J68" s="22"/>
      <c r="M68" s="30"/>
      <c r="N68" s="30"/>
      <c r="O68" s="30"/>
      <c r="Q68" s="82"/>
    </row>
    <row r="69" spans="1:17" s="7" customFormat="1" ht="44.25" customHeight="1">
      <c r="A69" s="8"/>
      <c r="B69" s="52" t="s">
        <v>116</v>
      </c>
      <c r="C69" s="214">
        <v>1</v>
      </c>
      <c r="D69" s="41"/>
      <c r="E69" s="232"/>
      <c r="F69" s="81"/>
      <c r="G69" s="213"/>
      <c r="H69" s="81"/>
      <c r="I69" s="26"/>
      <c r="J69" s="22"/>
      <c r="M69" s="30"/>
      <c r="N69" s="30"/>
      <c r="O69" s="30"/>
      <c r="Q69" s="82"/>
    </row>
    <row r="70" spans="1:17" s="7" customFormat="1" ht="15.95" customHeight="1">
      <c r="A70" s="8"/>
      <c r="B70" s="52"/>
      <c r="C70" s="41"/>
      <c r="D70" s="41"/>
      <c r="E70" s="231"/>
      <c r="F70" s="41"/>
      <c r="G70" s="97"/>
      <c r="I70" s="26"/>
      <c r="J70" s="22"/>
      <c r="M70" s="30"/>
      <c r="N70" s="30"/>
      <c r="O70" s="30"/>
      <c r="Q70" s="82"/>
    </row>
    <row r="71" spans="1:17" s="7" customFormat="1" ht="15.95" customHeight="1">
      <c r="A71" s="12" t="s">
        <v>61</v>
      </c>
      <c r="B71" s="52" t="s">
        <v>62</v>
      </c>
      <c r="C71" s="41"/>
      <c r="D71" s="41"/>
      <c r="E71" s="231"/>
      <c r="F71" s="41"/>
      <c r="G71" s="97"/>
      <c r="I71" s="26"/>
      <c r="J71" s="22"/>
      <c r="M71" s="30"/>
      <c r="N71" s="30"/>
      <c r="O71" s="30"/>
      <c r="Q71" s="82"/>
    </row>
    <row r="72" spans="1:17" s="7" customFormat="1" ht="15.95" customHeight="1">
      <c r="A72" s="20"/>
      <c r="B72" s="52"/>
      <c r="C72" s="59"/>
      <c r="D72" s="59"/>
      <c r="E72" s="233"/>
      <c r="F72" s="59"/>
      <c r="G72" s="104"/>
      <c r="H72" s="19"/>
      <c r="I72" s="26"/>
      <c r="J72" s="22"/>
      <c r="M72" s="30"/>
      <c r="N72" s="30"/>
      <c r="O72" s="30"/>
      <c r="Q72" s="87"/>
    </row>
    <row r="73" spans="1:17" s="7" customFormat="1" ht="15.95" customHeight="1">
      <c r="A73" s="8"/>
      <c r="B73" s="52" t="s">
        <v>41</v>
      </c>
      <c r="C73" s="214">
        <v>2.5</v>
      </c>
      <c r="D73" s="41"/>
      <c r="E73" s="232"/>
      <c r="F73" s="81"/>
      <c r="G73" s="213"/>
      <c r="H73" s="81"/>
      <c r="I73" s="26"/>
      <c r="J73" s="22"/>
      <c r="M73" s="30"/>
      <c r="N73" s="30"/>
      <c r="O73" s="30"/>
      <c r="Q73" s="82"/>
    </row>
    <row r="74" spans="1:17" s="7" customFormat="1" ht="15.95" customHeight="1">
      <c r="A74" s="8"/>
      <c r="B74" s="52"/>
      <c r="C74" s="41"/>
      <c r="D74" s="41"/>
      <c r="E74" s="231"/>
      <c r="F74" s="41"/>
      <c r="G74" s="97"/>
      <c r="H74" s="41"/>
      <c r="I74" s="26"/>
      <c r="J74" s="22"/>
      <c r="M74" s="30"/>
      <c r="N74" s="30"/>
      <c r="O74" s="30"/>
      <c r="Q74" s="82"/>
    </row>
    <row r="75" spans="1:17" s="7" customFormat="1" ht="76.5">
      <c r="A75" s="12" t="s">
        <v>73</v>
      </c>
      <c r="B75" s="52" t="s">
        <v>135</v>
      </c>
      <c r="C75" s="41"/>
      <c r="D75" s="41"/>
      <c r="E75" s="231"/>
      <c r="F75" s="41"/>
      <c r="G75" s="97"/>
      <c r="I75" s="26"/>
      <c r="J75" s="22"/>
      <c r="M75" s="30"/>
      <c r="N75" s="30"/>
      <c r="O75" s="30"/>
      <c r="Q75" s="82"/>
    </row>
    <row r="76" spans="1:17" s="7" customFormat="1" ht="15.95" customHeight="1">
      <c r="A76" s="20"/>
      <c r="B76" s="52"/>
      <c r="C76" s="59"/>
      <c r="D76" s="59"/>
      <c r="E76" s="233"/>
      <c r="F76" s="59"/>
      <c r="G76" s="104"/>
      <c r="H76" s="19"/>
      <c r="I76" s="26"/>
      <c r="J76" s="22"/>
      <c r="M76" s="30"/>
      <c r="N76" s="30"/>
      <c r="O76" s="30"/>
      <c r="Q76" s="87"/>
    </row>
    <row r="77" spans="1:17" s="7" customFormat="1" ht="15.95" customHeight="1">
      <c r="A77" s="8"/>
      <c r="B77" s="52" t="s">
        <v>23</v>
      </c>
      <c r="C77" s="214">
        <v>1</v>
      </c>
      <c r="D77" s="41"/>
      <c r="E77" s="232"/>
      <c r="F77" s="81"/>
      <c r="G77" s="213"/>
      <c r="H77" s="81"/>
      <c r="I77" s="26"/>
      <c r="J77" s="22"/>
      <c r="M77" s="30"/>
      <c r="N77" s="30"/>
      <c r="O77" s="30"/>
      <c r="Q77" s="82"/>
    </row>
    <row r="78" spans="1:17" s="7" customFormat="1" ht="15.95" customHeight="1">
      <c r="A78" s="8"/>
      <c r="B78" s="52"/>
      <c r="C78" s="41"/>
      <c r="D78" s="41"/>
      <c r="E78" s="231"/>
      <c r="F78" s="41"/>
      <c r="G78" s="97"/>
      <c r="H78" s="41"/>
      <c r="I78" s="26"/>
      <c r="J78" s="22"/>
      <c r="M78" s="30"/>
      <c r="N78" s="30"/>
      <c r="O78" s="30"/>
      <c r="Q78" s="82"/>
    </row>
    <row r="79" spans="1:17" s="7" customFormat="1" ht="33.950000000000003" customHeight="1">
      <c r="A79" s="12" t="s">
        <v>74</v>
      </c>
      <c r="B79" s="52" t="s">
        <v>10</v>
      </c>
      <c r="C79" s="41"/>
      <c r="D79" s="41"/>
      <c r="E79" s="231"/>
      <c r="F79" s="41"/>
      <c r="G79" s="97"/>
      <c r="I79" s="26"/>
      <c r="J79" s="22"/>
      <c r="M79" s="30"/>
      <c r="N79" s="30"/>
      <c r="O79" s="30"/>
      <c r="Q79" s="82"/>
    </row>
    <row r="80" spans="1:17" s="7" customFormat="1" ht="15.95" customHeight="1">
      <c r="A80" s="20"/>
      <c r="B80" s="52"/>
      <c r="C80" s="59"/>
      <c r="D80" s="59"/>
      <c r="E80" s="233"/>
      <c r="F80" s="59"/>
      <c r="G80" s="104"/>
      <c r="H80" s="19"/>
      <c r="I80" s="26"/>
      <c r="J80" s="22"/>
      <c r="M80" s="30"/>
      <c r="N80" s="30"/>
      <c r="O80" s="30"/>
      <c r="Q80" s="87"/>
    </row>
    <row r="81" spans="1:17" s="7" customFormat="1" ht="15.95" customHeight="1">
      <c r="A81" s="8"/>
      <c r="B81" s="52" t="s">
        <v>23</v>
      </c>
      <c r="C81" s="214">
        <v>1</v>
      </c>
      <c r="D81" s="41"/>
      <c r="E81" s="232"/>
      <c r="F81" s="81"/>
      <c r="G81" s="213"/>
      <c r="H81" s="81"/>
      <c r="I81" s="26"/>
      <c r="J81" s="22"/>
      <c r="M81" s="30"/>
      <c r="N81" s="30"/>
      <c r="O81" s="30"/>
      <c r="Q81" s="82"/>
    </row>
    <row r="82" spans="1:17" s="7" customFormat="1" ht="15.95" customHeight="1">
      <c r="A82" s="8"/>
      <c r="B82" s="52"/>
      <c r="C82" s="41"/>
      <c r="D82" s="41"/>
      <c r="E82" s="231"/>
      <c r="F82" s="41"/>
      <c r="G82" s="97"/>
      <c r="I82" s="26"/>
      <c r="J82" s="22"/>
      <c r="M82" s="30"/>
      <c r="N82" s="30"/>
      <c r="O82" s="30"/>
      <c r="Q82" s="82"/>
    </row>
    <row r="83" spans="1:17" s="7" customFormat="1" ht="31.5">
      <c r="A83" s="11"/>
      <c r="B83" s="60" t="s">
        <v>43</v>
      </c>
      <c r="C83" s="49"/>
      <c r="D83" s="49"/>
      <c r="E83" s="236"/>
      <c r="F83" s="49"/>
      <c r="G83" s="209"/>
      <c r="H83" s="49"/>
      <c r="I83" s="118"/>
      <c r="J83" s="22"/>
      <c r="M83" s="30"/>
      <c r="N83" s="30"/>
      <c r="O83" s="30"/>
      <c r="Q83" s="84"/>
    </row>
    <row r="84" spans="1:17" s="7" customFormat="1">
      <c r="A84" s="11"/>
      <c r="B84" s="60"/>
      <c r="C84" s="49"/>
      <c r="D84" s="49"/>
      <c r="E84" s="236"/>
      <c r="F84" s="49"/>
      <c r="G84" s="100"/>
      <c r="H84" s="49"/>
      <c r="I84" s="26"/>
      <c r="J84" s="22"/>
      <c r="M84" s="30"/>
      <c r="N84" s="30"/>
      <c r="O84" s="30"/>
      <c r="Q84" s="84"/>
    </row>
    <row r="85" spans="1:17" s="7" customFormat="1">
      <c r="A85" s="11" t="s">
        <v>32</v>
      </c>
      <c r="B85" s="9" t="s">
        <v>17</v>
      </c>
      <c r="C85" s="46"/>
      <c r="E85" s="237"/>
      <c r="G85" s="99"/>
      <c r="I85" s="26"/>
      <c r="J85" s="22"/>
      <c r="M85" s="30"/>
      <c r="N85" s="30"/>
      <c r="O85" s="30"/>
      <c r="Q85" s="91"/>
    </row>
    <row r="86" spans="1:17">
      <c r="B86" s="52"/>
      <c r="E86" s="231"/>
      <c r="H86" s="61"/>
    </row>
    <row r="87" spans="1:17" ht="69" customHeight="1">
      <c r="A87" s="43" t="s">
        <v>34</v>
      </c>
      <c r="B87" s="52" t="s">
        <v>133</v>
      </c>
      <c r="E87" s="231"/>
      <c r="H87" s="61"/>
      <c r="J87" s="52"/>
    </row>
    <row r="88" spans="1:17">
      <c r="B88" s="52"/>
      <c r="E88" s="231"/>
      <c r="H88" s="61"/>
    </row>
    <row r="89" spans="1:17">
      <c r="B89" s="52" t="s">
        <v>25</v>
      </c>
      <c r="C89" s="214">
        <f>0.45/0.09</f>
        <v>5</v>
      </c>
      <c r="E89" s="232"/>
      <c r="F89" s="81"/>
      <c r="G89" s="213"/>
      <c r="H89" s="81"/>
    </row>
    <row r="90" spans="1:17">
      <c r="B90" s="52"/>
      <c r="E90" s="231"/>
      <c r="H90" s="61"/>
    </row>
    <row r="91" spans="1:17" ht="65.25">
      <c r="A91" s="43" t="s">
        <v>35</v>
      </c>
      <c r="B91" s="52" t="s">
        <v>87</v>
      </c>
      <c r="E91" s="231"/>
      <c r="H91" s="61"/>
    </row>
    <row r="92" spans="1:17">
      <c r="B92" s="52"/>
      <c r="E92" s="231"/>
      <c r="H92" s="61"/>
    </row>
    <row r="93" spans="1:17">
      <c r="B93" s="52" t="s">
        <v>20</v>
      </c>
      <c r="C93" s="214">
        <f>C50*0.8</f>
        <v>2.4000000000000004</v>
      </c>
      <c r="E93" s="232"/>
      <c r="F93" s="81"/>
      <c r="G93" s="213"/>
      <c r="H93" s="81"/>
      <c r="J93" s="36"/>
    </row>
    <row r="94" spans="1:17">
      <c r="B94" s="52"/>
      <c r="E94" s="231"/>
      <c r="H94" s="41"/>
      <c r="J94" s="36"/>
    </row>
    <row r="95" spans="1:17">
      <c r="B95" s="52"/>
      <c r="C95" s="207" t="s">
        <v>170</v>
      </c>
      <c r="D95" s="203"/>
      <c r="E95" s="235" t="s">
        <v>171</v>
      </c>
      <c r="F95" s="203"/>
      <c r="G95" s="208" t="s">
        <v>164</v>
      </c>
      <c r="H95" s="61"/>
    </row>
    <row r="96" spans="1:17" ht="65.25">
      <c r="A96" s="43" t="s">
        <v>36</v>
      </c>
      <c r="B96" s="52" t="s">
        <v>88</v>
      </c>
      <c r="E96" s="231"/>
      <c r="H96" s="61"/>
    </row>
    <row r="97" spans="1:17">
      <c r="B97" s="52"/>
      <c r="E97" s="231"/>
      <c r="H97" s="61"/>
    </row>
    <row r="98" spans="1:17" ht="25.5">
      <c r="B98" s="52" t="s">
        <v>141</v>
      </c>
      <c r="E98" s="231"/>
      <c r="H98" s="61"/>
    </row>
    <row r="99" spans="1:17">
      <c r="B99" s="52" t="s">
        <v>20</v>
      </c>
      <c r="C99" s="214">
        <f>235.26*0.8</f>
        <v>188.208</v>
      </c>
      <c r="E99" s="230"/>
      <c r="F99" s="81"/>
      <c r="G99" s="213"/>
      <c r="H99" s="81"/>
    </row>
    <row r="100" spans="1:17">
      <c r="B100" s="52"/>
      <c r="E100" s="231"/>
      <c r="H100" s="41"/>
      <c r="J100" s="36"/>
    </row>
    <row r="101" spans="1:17">
      <c r="B101" s="52" t="s">
        <v>142</v>
      </c>
      <c r="E101" s="231"/>
      <c r="H101" s="61"/>
    </row>
    <row r="102" spans="1:17">
      <c r="B102" s="52" t="s">
        <v>20</v>
      </c>
      <c r="C102" s="214">
        <f>235.26*0.2</f>
        <v>47.052</v>
      </c>
      <c r="E102" s="232"/>
      <c r="F102" s="81"/>
      <c r="G102" s="213"/>
      <c r="H102" s="81"/>
    </row>
    <row r="103" spans="1:17">
      <c r="B103" s="52"/>
      <c r="E103" s="231"/>
      <c r="H103" s="61"/>
    </row>
    <row r="104" spans="1:17" ht="65.25">
      <c r="A104" s="43" t="s">
        <v>37</v>
      </c>
      <c r="B104" s="52" t="s">
        <v>89</v>
      </c>
      <c r="E104" s="231"/>
      <c r="H104" s="61"/>
    </row>
    <row r="105" spans="1:17">
      <c r="B105" s="52"/>
      <c r="E105" s="231"/>
      <c r="H105" s="61"/>
    </row>
    <row r="106" spans="1:17" ht="25.5">
      <c r="B106" s="52" t="s">
        <v>141</v>
      </c>
      <c r="E106" s="231"/>
      <c r="H106" s="61"/>
    </row>
    <row r="107" spans="1:17">
      <c r="B107" s="52" t="s">
        <v>20</v>
      </c>
      <c r="C107" s="214">
        <f>4.97*0.8</f>
        <v>3.976</v>
      </c>
      <c r="E107" s="238"/>
      <c r="F107" s="81"/>
      <c r="G107" s="213"/>
      <c r="H107" s="81"/>
    </row>
    <row r="108" spans="1:17">
      <c r="B108" s="52"/>
      <c r="E108" s="231"/>
      <c r="H108" s="41"/>
      <c r="J108" s="36"/>
    </row>
    <row r="109" spans="1:17">
      <c r="B109" s="52" t="s">
        <v>142</v>
      </c>
      <c r="E109" s="231"/>
      <c r="H109" s="61"/>
    </row>
    <row r="110" spans="1:17">
      <c r="B110" s="52" t="s">
        <v>20</v>
      </c>
      <c r="C110" s="214">
        <f>4.97*0.2</f>
        <v>0.99399999999999999</v>
      </c>
      <c r="E110" s="230"/>
      <c r="F110" s="81"/>
      <c r="G110" s="213"/>
      <c r="H110" s="81"/>
    </row>
    <row r="111" spans="1:17" s="68" customFormat="1">
      <c r="A111" s="69"/>
      <c r="B111" s="70"/>
      <c r="C111" s="66"/>
      <c r="D111" s="66"/>
      <c r="E111" s="231"/>
      <c r="F111" s="66"/>
      <c r="G111" s="97"/>
      <c r="H111" s="67"/>
      <c r="Q111" s="88"/>
    </row>
    <row r="112" spans="1:17" s="64" customFormat="1" ht="38.25">
      <c r="A112" s="43" t="s">
        <v>45</v>
      </c>
      <c r="B112" s="52" t="s">
        <v>38</v>
      </c>
      <c r="C112" s="41"/>
      <c r="D112" s="41"/>
      <c r="E112" s="231"/>
      <c r="F112" s="41"/>
      <c r="G112" s="97"/>
      <c r="H112" s="61"/>
      <c r="I112" s="62"/>
      <c r="J112" s="63"/>
      <c r="M112" s="65"/>
      <c r="N112" s="65"/>
      <c r="O112" s="65"/>
      <c r="Q112" s="82"/>
    </row>
    <row r="113" spans="1:17">
      <c r="B113" s="52"/>
      <c r="C113" s="59"/>
      <c r="D113" s="59"/>
      <c r="E113" s="231"/>
      <c r="F113" s="59"/>
      <c r="G113" s="104"/>
      <c r="H113" s="64"/>
      <c r="Q113" s="87"/>
    </row>
    <row r="114" spans="1:17">
      <c r="B114" s="52" t="s">
        <v>25</v>
      </c>
      <c r="C114" s="214">
        <f>C42*0.75</f>
        <v>61.5</v>
      </c>
      <c r="E114" s="232"/>
      <c r="G114" s="213"/>
      <c r="H114" s="41"/>
    </row>
    <row r="115" spans="1:17">
      <c r="B115" s="52"/>
      <c r="E115" s="231"/>
      <c r="H115" s="61"/>
    </row>
    <row r="116" spans="1:17" s="64" customFormat="1" ht="140.25">
      <c r="A116" s="43" t="s">
        <v>46</v>
      </c>
      <c r="B116" s="52" t="s">
        <v>90</v>
      </c>
      <c r="C116" s="41"/>
      <c r="D116" s="41"/>
      <c r="E116" s="231"/>
      <c r="F116" s="41"/>
      <c r="G116" s="97"/>
      <c r="H116" s="61"/>
      <c r="I116" s="62"/>
      <c r="J116" s="63"/>
      <c r="M116" s="65"/>
      <c r="N116" s="65"/>
      <c r="O116" s="65"/>
      <c r="Q116" s="82"/>
    </row>
    <row r="117" spans="1:17">
      <c r="A117" s="71"/>
      <c r="B117" s="52"/>
      <c r="C117" s="59"/>
      <c r="D117" s="59"/>
      <c r="E117" s="231"/>
      <c r="F117" s="59"/>
      <c r="G117" s="104"/>
      <c r="H117" s="64"/>
      <c r="Q117" s="87"/>
    </row>
    <row r="118" spans="1:17">
      <c r="B118" s="52" t="s">
        <v>20</v>
      </c>
      <c r="C118" s="214">
        <v>11.8</v>
      </c>
      <c r="E118" s="232"/>
      <c r="G118" s="213"/>
      <c r="H118" s="41"/>
    </row>
    <row r="119" spans="1:17">
      <c r="B119" s="52"/>
      <c r="C119" s="207" t="s">
        <v>170</v>
      </c>
      <c r="D119" s="203"/>
      <c r="E119" s="235" t="s">
        <v>171</v>
      </c>
      <c r="F119" s="203"/>
      <c r="G119" s="208" t="s">
        <v>164</v>
      </c>
      <c r="H119" s="61"/>
    </row>
    <row r="120" spans="1:17" s="64" customFormat="1" ht="114.75">
      <c r="A120" s="43" t="s">
        <v>47</v>
      </c>
      <c r="B120" s="52" t="s">
        <v>132</v>
      </c>
      <c r="C120" s="41"/>
      <c r="D120" s="41"/>
      <c r="E120" s="231"/>
      <c r="F120" s="41"/>
      <c r="G120" s="97"/>
      <c r="H120" s="61"/>
      <c r="I120" s="62"/>
      <c r="J120" s="63"/>
      <c r="M120" s="65"/>
      <c r="N120" s="65"/>
      <c r="O120" s="65"/>
      <c r="Q120" s="82"/>
    </row>
    <row r="121" spans="1:17">
      <c r="A121" s="71"/>
      <c r="B121" s="52"/>
      <c r="C121" s="59"/>
      <c r="D121" s="59"/>
      <c r="E121" s="231"/>
      <c r="F121" s="59"/>
      <c r="G121" s="104"/>
      <c r="H121" s="64"/>
      <c r="Q121" s="87"/>
    </row>
    <row r="122" spans="1:17">
      <c r="B122" s="52" t="s">
        <v>20</v>
      </c>
      <c r="C122" s="214">
        <v>40.450000000000003</v>
      </c>
      <c r="E122" s="232"/>
      <c r="G122" s="213"/>
      <c r="H122" s="41"/>
    </row>
    <row r="123" spans="1:17">
      <c r="B123" s="52"/>
      <c r="E123" s="231"/>
      <c r="H123" s="61"/>
    </row>
    <row r="124" spans="1:17" ht="96" customHeight="1">
      <c r="A124" s="43" t="s">
        <v>48</v>
      </c>
      <c r="B124" s="52" t="s">
        <v>91</v>
      </c>
      <c r="E124" s="231"/>
      <c r="H124" s="61"/>
    </row>
    <row r="125" spans="1:17">
      <c r="A125" s="71"/>
      <c r="B125" s="52"/>
      <c r="E125" s="231"/>
      <c r="H125" s="61"/>
    </row>
    <row r="126" spans="1:17">
      <c r="B126" s="52" t="s">
        <v>20</v>
      </c>
      <c r="C126" s="214">
        <f>148.65*1</f>
        <v>148.65</v>
      </c>
      <c r="E126" s="232"/>
      <c r="G126" s="213"/>
      <c r="H126" s="41"/>
    </row>
    <row r="127" spans="1:17">
      <c r="B127" s="52"/>
      <c r="E127" s="231"/>
      <c r="H127" s="61"/>
      <c r="I127" s="38"/>
      <c r="J127" s="38"/>
      <c r="M127" s="38"/>
      <c r="N127" s="38"/>
      <c r="O127" s="38"/>
    </row>
    <row r="128" spans="1:17" ht="114.75">
      <c r="A128" s="43" t="s">
        <v>50</v>
      </c>
      <c r="B128" s="52" t="s">
        <v>177</v>
      </c>
      <c r="E128" s="231"/>
      <c r="H128" s="61"/>
      <c r="K128" s="52"/>
    </row>
    <row r="129" spans="1:11">
      <c r="A129" s="71"/>
      <c r="B129" s="52"/>
      <c r="E129" s="231"/>
      <c r="H129" s="61"/>
    </row>
    <row r="130" spans="1:11">
      <c r="B130" s="52" t="s">
        <v>20</v>
      </c>
      <c r="C130" s="214">
        <v>34.9</v>
      </c>
      <c r="E130" s="232"/>
      <c r="G130" s="213"/>
      <c r="H130" s="41"/>
    </row>
    <row r="131" spans="1:11">
      <c r="B131" s="52"/>
      <c r="C131" s="207" t="s">
        <v>170</v>
      </c>
      <c r="D131" s="203"/>
      <c r="E131" s="235" t="s">
        <v>171</v>
      </c>
      <c r="F131" s="203"/>
      <c r="G131" s="208" t="s">
        <v>164</v>
      </c>
      <c r="H131" s="61"/>
    </row>
    <row r="132" spans="1:11" ht="340.5" customHeight="1">
      <c r="A132" s="43" t="s">
        <v>51</v>
      </c>
      <c r="B132" s="16" t="s">
        <v>168</v>
      </c>
      <c r="E132" s="231"/>
      <c r="H132" s="61"/>
    </row>
    <row r="133" spans="1:11">
      <c r="A133" s="71"/>
      <c r="B133" s="72"/>
      <c r="E133" s="231"/>
      <c r="H133" s="61"/>
    </row>
    <row r="134" spans="1:11">
      <c r="B134" s="52" t="s">
        <v>25</v>
      </c>
      <c r="C134" s="214">
        <f>C89</f>
        <v>5</v>
      </c>
      <c r="E134" s="230"/>
      <c r="G134" s="213"/>
      <c r="H134" s="41"/>
    </row>
    <row r="135" spans="1:11">
      <c r="B135" s="52"/>
      <c r="E135" s="231"/>
      <c r="H135" s="61"/>
    </row>
    <row r="136" spans="1:11" ht="25.5">
      <c r="A136" s="43" t="s">
        <v>63</v>
      </c>
      <c r="B136" s="187" t="s">
        <v>248</v>
      </c>
      <c r="E136" s="231"/>
      <c r="H136" s="61"/>
      <c r="K136" s="121"/>
    </row>
    <row r="137" spans="1:11">
      <c r="A137" s="71"/>
      <c r="B137" s="72"/>
      <c r="E137" s="231"/>
      <c r="H137" s="61"/>
    </row>
    <row r="138" spans="1:11">
      <c r="B138" s="52" t="s">
        <v>25</v>
      </c>
      <c r="C138" s="214">
        <f>8.88/0.05</f>
        <v>177.6</v>
      </c>
      <c r="E138" s="232"/>
      <c r="G138" s="213"/>
      <c r="H138" s="41"/>
    </row>
    <row r="139" spans="1:11">
      <c r="B139" s="52"/>
      <c r="E139" s="231"/>
      <c r="H139" s="61"/>
    </row>
    <row r="140" spans="1:11" ht="116.25">
      <c r="A140" s="43" t="s">
        <v>57</v>
      </c>
      <c r="B140" s="52" t="s">
        <v>96</v>
      </c>
      <c r="E140" s="231"/>
      <c r="H140" s="61"/>
    </row>
    <row r="141" spans="1:11">
      <c r="B141" s="52"/>
      <c r="E141" s="231"/>
      <c r="H141" s="61"/>
    </row>
    <row r="142" spans="1:11">
      <c r="B142" s="52" t="s">
        <v>20</v>
      </c>
      <c r="C142" s="214">
        <f>(240.23)*1.3</f>
        <v>312.29899999999998</v>
      </c>
      <c r="E142" s="232"/>
      <c r="G142" s="213"/>
      <c r="H142" s="41"/>
    </row>
    <row r="143" spans="1:11">
      <c r="B143" s="52"/>
      <c r="E143" s="231"/>
      <c r="H143" s="61"/>
    </row>
    <row r="144" spans="1:11">
      <c r="B144" s="52"/>
      <c r="C144" s="207" t="s">
        <v>170</v>
      </c>
      <c r="D144" s="203"/>
      <c r="E144" s="235" t="s">
        <v>171</v>
      </c>
      <c r="F144" s="203"/>
      <c r="G144" s="208" t="s">
        <v>164</v>
      </c>
      <c r="H144" s="61"/>
    </row>
    <row r="145" spans="1:17" ht="51">
      <c r="A145" s="43" t="s">
        <v>64</v>
      </c>
      <c r="B145" s="52" t="s">
        <v>97</v>
      </c>
      <c r="E145" s="231"/>
      <c r="H145" s="61"/>
    </row>
    <row r="146" spans="1:17">
      <c r="B146" s="52"/>
      <c r="E146" s="231"/>
      <c r="H146" s="61"/>
    </row>
    <row r="147" spans="1:17">
      <c r="B147" s="52" t="s">
        <v>41</v>
      </c>
      <c r="C147" s="214">
        <v>1</v>
      </c>
      <c r="E147" s="232"/>
      <c r="G147" s="213"/>
      <c r="H147" s="41"/>
    </row>
    <row r="148" spans="1:17">
      <c r="B148" s="52"/>
      <c r="E148" s="231"/>
      <c r="H148" s="61"/>
    </row>
    <row r="149" spans="1:17" s="64" customFormat="1" ht="63.75">
      <c r="A149" s="43" t="s">
        <v>65</v>
      </c>
      <c r="B149" s="52" t="s">
        <v>7</v>
      </c>
      <c r="C149" s="41"/>
      <c r="D149" s="41"/>
      <c r="E149" s="231"/>
      <c r="F149" s="41"/>
      <c r="G149" s="97"/>
      <c r="H149" s="61"/>
      <c r="I149" s="62"/>
      <c r="J149" s="63"/>
      <c r="M149" s="65"/>
      <c r="N149" s="65"/>
      <c r="O149" s="65"/>
      <c r="Q149" s="82"/>
    </row>
    <row r="150" spans="1:17">
      <c r="B150" s="52"/>
      <c r="C150" s="59"/>
      <c r="D150" s="59"/>
      <c r="E150" s="233"/>
      <c r="F150" s="59"/>
      <c r="G150" s="104"/>
      <c r="H150" s="64"/>
      <c r="Q150" s="87"/>
    </row>
    <row r="151" spans="1:17">
      <c r="B151" s="52" t="s">
        <v>39</v>
      </c>
      <c r="E151" s="231"/>
      <c r="G151" s="213"/>
      <c r="H151" s="41"/>
    </row>
    <row r="152" spans="1:17">
      <c r="B152" s="52"/>
      <c r="E152" s="231"/>
      <c r="H152" s="61"/>
    </row>
    <row r="153" spans="1:17" s="7" customFormat="1">
      <c r="A153" s="43"/>
      <c r="B153" s="60" t="s">
        <v>21</v>
      </c>
      <c r="C153" s="56"/>
      <c r="D153" s="56"/>
      <c r="E153" s="239"/>
      <c r="F153" s="56"/>
      <c r="G153" s="209"/>
      <c r="H153" s="49"/>
      <c r="I153" s="26"/>
      <c r="J153" s="22"/>
      <c r="M153" s="30"/>
      <c r="N153" s="30"/>
      <c r="O153" s="30"/>
      <c r="Q153" s="86"/>
    </row>
    <row r="154" spans="1:17" ht="15.95" customHeight="1">
      <c r="A154" s="47"/>
      <c r="B154" s="9"/>
      <c r="C154" s="56"/>
      <c r="D154" s="56"/>
      <c r="E154" s="239"/>
      <c r="F154" s="56"/>
      <c r="G154" s="100"/>
      <c r="Q154" s="86"/>
    </row>
    <row r="155" spans="1:17">
      <c r="A155" s="11" t="s">
        <v>42</v>
      </c>
      <c r="B155" s="9" t="s">
        <v>18</v>
      </c>
      <c r="C155" s="46"/>
      <c r="D155" s="7"/>
      <c r="E155" s="237"/>
      <c r="F155" s="7"/>
      <c r="G155" s="99"/>
      <c r="H155" s="7"/>
      <c r="Q155" s="91"/>
    </row>
    <row r="156" spans="1:17">
      <c r="A156" s="11"/>
      <c r="B156" s="9"/>
      <c r="C156" s="46"/>
      <c r="D156" s="7"/>
      <c r="E156" s="237"/>
      <c r="F156" s="7"/>
      <c r="G156" s="99"/>
      <c r="H156" s="7"/>
      <c r="Q156" s="91"/>
    </row>
    <row r="157" spans="1:17" ht="43.5" customHeight="1">
      <c r="A157" s="43" t="s">
        <v>112</v>
      </c>
      <c r="B157" s="73" t="s">
        <v>98</v>
      </c>
      <c r="E157" s="231"/>
      <c r="H157" s="61"/>
    </row>
    <row r="158" spans="1:17">
      <c r="B158" s="52"/>
      <c r="E158" s="231"/>
      <c r="H158" s="61"/>
    </row>
    <row r="159" spans="1:17">
      <c r="B159" s="52" t="s">
        <v>22</v>
      </c>
      <c r="C159" s="214">
        <v>82</v>
      </c>
      <c r="E159" s="232"/>
      <c r="G159" s="213"/>
      <c r="H159" s="41"/>
    </row>
    <row r="160" spans="1:17">
      <c r="B160" s="52"/>
      <c r="C160" s="120"/>
      <c r="E160" s="231"/>
      <c r="H160" s="41"/>
    </row>
    <row r="161" spans="1:17" ht="76.5">
      <c r="A161" s="43" t="s">
        <v>78</v>
      </c>
      <c r="B161" s="73" t="s">
        <v>99</v>
      </c>
      <c r="E161" s="231"/>
      <c r="H161" s="61"/>
    </row>
    <row r="162" spans="1:17">
      <c r="B162" s="52"/>
      <c r="E162" s="231"/>
      <c r="H162" s="61"/>
    </row>
    <row r="163" spans="1:17">
      <c r="B163" s="52" t="s">
        <v>22</v>
      </c>
      <c r="C163" s="214">
        <v>82</v>
      </c>
      <c r="E163" s="230"/>
      <c r="G163" s="213"/>
      <c r="H163" s="41"/>
    </row>
    <row r="164" spans="1:17" s="79" customFormat="1">
      <c r="A164" s="43"/>
      <c r="B164" s="52"/>
      <c r="C164" s="124"/>
      <c r="D164" s="41"/>
      <c r="E164" s="231"/>
      <c r="F164" s="41"/>
      <c r="G164" s="97"/>
      <c r="H164" s="41"/>
      <c r="Q164" s="95"/>
    </row>
    <row r="165" spans="1:17" s="79" customFormat="1" ht="102">
      <c r="A165" s="43" t="s">
        <v>101</v>
      </c>
      <c r="B165" s="10" t="s">
        <v>195</v>
      </c>
      <c r="C165" s="41"/>
      <c r="D165" s="41"/>
      <c r="E165" s="231"/>
      <c r="F165" s="41"/>
      <c r="G165" s="97"/>
      <c r="H165" s="125"/>
      <c r="K165" s="10"/>
      <c r="Q165" s="82"/>
    </row>
    <row r="166" spans="1:17" s="79" customFormat="1">
      <c r="A166" s="43"/>
      <c r="B166" s="10"/>
      <c r="C166" s="41"/>
      <c r="D166" s="41"/>
      <c r="E166" s="231"/>
      <c r="F166" s="41"/>
      <c r="G166" s="97"/>
      <c r="H166" s="125"/>
      <c r="K166" s="10"/>
      <c r="Q166" s="82"/>
    </row>
    <row r="167" spans="1:17" s="79" customFormat="1">
      <c r="A167" s="43"/>
      <c r="B167" s="52" t="s">
        <v>117</v>
      </c>
      <c r="C167" s="216">
        <v>2</v>
      </c>
      <c r="D167" s="41"/>
      <c r="E167" s="232"/>
      <c r="F167" s="41"/>
      <c r="G167" s="213"/>
      <c r="H167" s="41"/>
      <c r="Q167" s="95"/>
    </row>
    <row r="168" spans="1:17" s="79" customFormat="1">
      <c r="A168" s="43"/>
      <c r="B168" s="52" t="s">
        <v>118</v>
      </c>
      <c r="C168" s="216">
        <v>1</v>
      </c>
      <c r="D168" s="41"/>
      <c r="E168" s="232"/>
      <c r="F168" s="41"/>
      <c r="G168" s="213"/>
      <c r="H168" s="41"/>
      <c r="Q168" s="95"/>
    </row>
    <row r="169" spans="1:17" s="79" customFormat="1">
      <c r="A169" s="43"/>
      <c r="B169" s="52"/>
      <c r="C169" s="124"/>
      <c r="D169" s="41"/>
      <c r="E169" s="231"/>
      <c r="F169" s="41"/>
      <c r="G169" s="97"/>
      <c r="H169" s="41"/>
      <c r="Q169" s="95"/>
    </row>
    <row r="170" spans="1:17" s="79" customFormat="1">
      <c r="A170" s="43"/>
      <c r="B170" s="52"/>
      <c r="C170" s="207" t="s">
        <v>170</v>
      </c>
      <c r="D170" s="203"/>
      <c r="E170" s="235" t="s">
        <v>171</v>
      </c>
      <c r="F170" s="203"/>
      <c r="G170" s="208" t="s">
        <v>164</v>
      </c>
      <c r="H170" s="41"/>
      <c r="Q170" s="95"/>
    </row>
    <row r="171" spans="1:17" s="79" customFormat="1" ht="165.75">
      <c r="A171" s="43" t="s">
        <v>79</v>
      </c>
      <c r="B171" s="10" t="s">
        <v>194</v>
      </c>
      <c r="C171" s="41"/>
      <c r="D171" s="41"/>
      <c r="E171" s="231"/>
      <c r="F171" s="41"/>
      <c r="G171" s="97"/>
      <c r="H171" s="125"/>
      <c r="K171" s="10"/>
      <c r="Q171" s="82"/>
    </row>
    <row r="172" spans="1:17" s="79" customFormat="1">
      <c r="A172" s="43"/>
      <c r="B172" s="52"/>
      <c r="C172" s="41"/>
      <c r="D172" s="41"/>
      <c r="E172" s="231"/>
      <c r="F172" s="41"/>
      <c r="G172" s="97"/>
      <c r="H172" s="125"/>
      <c r="Q172" s="82"/>
    </row>
    <row r="173" spans="1:17" s="79" customFormat="1">
      <c r="A173" s="43"/>
      <c r="B173" s="52" t="s">
        <v>117</v>
      </c>
      <c r="C173" s="216">
        <f>C167</f>
        <v>2</v>
      </c>
      <c r="D173" s="41"/>
      <c r="E173" s="232"/>
      <c r="F173" s="41"/>
      <c r="G173" s="213"/>
      <c r="H173" s="41"/>
      <c r="Q173" s="95"/>
    </row>
    <row r="174" spans="1:17" s="79" customFormat="1">
      <c r="A174" s="43"/>
      <c r="B174" s="52" t="s">
        <v>118</v>
      </c>
      <c r="C174" s="124">
        <f>C168</f>
        <v>1</v>
      </c>
      <c r="D174" s="41"/>
      <c r="E174" s="232"/>
      <c r="F174" s="41"/>
      <c r="G174" s="213"/>
      <c r="H174" s="41"/>
      <c r="Q174" s="95"/>
    </row>
    <row r="175" spans="1:17" s="5" customFormat="1">
      <c r="A175" s="6"/>
      <c r="B175" s="10"/>
      <c r="C175" s="4"/>
      <c r="D175" s="2"/>
      <c r="E175" s="231"/>
      <c r="F175" s="2"/>
      <c r="G175" s="105"/>
      <c r="H175" s="2"/>
      <c r="Q175" s="89"/>
    </row>
    <row r="176" spans="1:17" s="5" customFormat="1" ht="210" customHeight="1">
      <c r="A176" s="6" t="s">
        <v>109</v>
      </c>
      <c r="B176" s="126" t="s">
        <v>167</v>
      </c>
      <c r="C176" s="2"/>
      <c r="D176" s="2"/>
      <c r="E176" s="231"/>
      <c r="F176" s="2"/>
      <c r="G176" s="105"/>
      <c r="H176" s="15"/>
      <c r="K176" s="10"/>
      <c r="Q176" s="89"/>
    </row>
    <row r="177" spans="1:17" s="5" customFormat="1">
      <c r="A177" s="6"/>
      <c r="B177" s="10"/>
      <c r="C177" s="2"/>
      <c r="D177" s="2"/>
      <c r="E177" s="231"/>
      <c r="F177" s="2"/>
      <c r="G177" s="105"/>
      <c r="H177" s="15"/>
      <c r="Q177" s="89"/>
    </row>
    <row r="178" spans="1:17" s="5" customFormat="1">
      <c r="A178" s="6"/>
      <c r="B178" s="10" t="s">
        <v>23</v>
      </c>
      <c r="C178" s="217">
        <v>3</v>
      </c>
      <c r="D178" s="2"/>
      <c r="E178" s="232"/>
      <c r="F178" s="2"/>
      <c r="G178" s="218"/>
      <c r="H178" s="2"/>
      <c r="J178" s="122"/>
      <c r="Q178" s="89"/>
    </row>
    <row r="179" spans="1:17">
      <c r="B179" s="52"/>
      <c r="E179" s="231"/>
      <c r="H179" s="61"/>
      <c r="I179" s="38"/>
      <c r="J179" s="38"/>
      <c r="M179" s="38"/>
      <c r="N179" s="38"/>
      <c r="O179" s="38"/>
    </row>
    <row r="180" spans="1:17" ht="40.5" customHeight="1">
      <c r="A180" s="43" t="s">
        <v>1</v>
      </c>
      <c r="B180" s="52" t="s">
        <v>104</v>
      </c>
      <c r="E180" s="231"/>
      <c r="H180" s="61"/>
    </row>
    <row r="181" spans="1:17">
      <c r="B181" s="52"/>
      <c r="E181" s="231"/>
      <c r="H181" s="61"/>
    </row>
    <row r="182" spans="1:17">
      <c r="B182" s="52" t="s">
        <v>23</v>
      </c>
      <c r="C182" s="214">
        <v>3</v>
      </c>
      <c r="E182" s="232"/>
      <c r="G182" s="213"/>
      <c r="H182" s="41"/>
      <c r="Q182" s="95"/>
    </row>
    <row r="183" spans="1:17">
      <c r="B183" s="52"/>
      <c r="E183" s="231"/>
      <c r="H183" s="41"/>
      <c r="Q183" s="95"/>
    </row>
    <row r="184" spans="1:17" ht="30.75" customHeight="1">
      <c r="A184" s="43" t="s">
        <v>105</v>
      </c>
      <c r="B184" s="52" t="s">
        <v>103</v>
      </c>
      <c r="E184" s="231"/>
      <c r="H184" s="61"/>
    </row>
    <row r="185" spans="1:17">
      <c r="B185" s="52"/>
      <c r="E185" s="231"/>
      <c r="H185" s="49"/>
    </row>
    <row r="186" spans="1:17">
      <c r="B186" s="52" t="s">
        <v>22</v>
      </c>
      <c r="C186" s="214">
        <v>82</v>
      </c>
      <c r="E186" s="230"/>
      <c r="G186" s="213"/>
      <c r="H186" s="41"/>
    </row>
    <row r="187" spans="1:17">
      <c r="B187" s="52"/>
      <c r="E187" s="231"/>
      <c r="H187" s="41"/>
      <c r="Q187" s="95"/>
    </row>
    <row r="188" spans="1:17" ht="42.75" customHeight="1">
      <c r="A188" s="43" t="s">
        <v>2</v>
      </c>
      <c r="B188" s="52" t="s">
        <v>102</v>
      </c>
      <c r="E188" s="231"/>
      <c r="H188" s="61"/>
    </row>
    <row r="189" spans="1:17">
      <c r="B189" s="52"/>
      <c r="E189" s="231"/>
      <c r="H189" s="49"/>
    </row>
    <row r="190" spans="1:17">
      <c r="B190" s="52" t="s">
        <v>22</v>
      </c>
      <c r="C190" s="214">
        <v>82</v>
      </c>
      <c r="E190" s="230"/>
      <c r="G190" s="213"/>
      <c r="H190" s="41"/>
    </row>
    <row r="191" spans="1:17">
      <c r="B191" s="52"/>
      <c r="C191" s="207" t="s">
        <v>170</v>
      </c>
      <c r="D191" s="203"/>
      <c r="E191" s="235" t="s">
        <v>171</v>
      </c>
      <c r="F191" s="203"/>
      <c r="G191" s="208" t="s">
        <v>164</v>
      </c>
      <c r="H191" s="41"/>
    </row>
    <row r="192" spans="1:17" ht="22.5" customHeight="1">
      <c r="A192" s="43" t="s">
        <v>110</v>
      </c>
      <c r="B192" s="52" t="s">
        <v>106</v>
      </c>
      <c r="E192" s="231"/>
      <c r="H192" s="61"/>
    </row>
    <row r="193" spans="1:17">
      <c r="B193" s="52"/>
      <c r="E193" s="231"/>
      <c r="H193" s="49"/>
    </row>
    <row r="194" spans="1:17">
      <c r="B194" s="52" t="s">
        <v>22</v>
      </c>
      <c r="C194" s="214">
        <v>82</v>
      </c>
      <c r="E194" s="230"/>
      <c r="G194" s="213"/>
      <c r="H194" s="41"/>
    </row>
    <row r="195" spans="1:17">
      <c r="B195" s="52"/>
      <c r="E195" s="231"/>
      <c r="H195" s="61"/>
    </row>
    <row r="196" spans="1:17" s="64" customFormat="1" ht="63.75">
      <c r="A196" s="43" t="s">
        <v>111</v>
      </c>
      <c r="B196" s="52" t="s">
        <v>9</v>
      </c>
      <c r="C196" s="41"/>
      <c r="D196" s="41"/>
      <c r="E196" s="231"/>
      <c r="F196" s="41"/>
      <c r="G196" s="97"/>
      <c r="H196" s="61"/>
      <c r="I196" s="62"/>
      <c r="J196" s="63"/>
      <c r="M196" s="65"/>
      <c r="N196" s="65"/>
      <c r="O196" s="65"/>
      <c r="Q196" s="82"/>
    </row>
    <row r="197" spans="1:17">
      <c r="B197" s="52"/>
      <c r="C197" s="59"/>
      <c r="D197" s="59"/>
      <c r="E197" s="233"/>
      <c r="F197" s="59"/>
      <c r="G197" s="104"/>
      <c r="H197" s="64"/>
      <c r="Q197" s="87"/>
    </row>
    <row r="198" spans="1:17">
      <c r="B198" s="52" t="s">
        <v>39</v>
      </c>
      <c r="E198" s="231"/>
      <c r="G198" s="213"/>
      <c r="H198" s="41"/>
      <c r="J198" s="97"/>
      <c r="K198" s="97"/>
    </row>
    <row r="199" spans="1:17">
      <c r="B199" s="52"/>
      <c r="E199" s="231"/>
      <c r="H199" s="61"/>
    </row>
    <row r="200" spans="1:17">
      <c r="B200" s="48" t="s">
        <v>24</v>
      </c>
      <c r="C200" s="56"/>
      <c r="D200" s="56"/>
      <c r="E200" s="239"/>
      <c r="F200" s="56"/>
      <c r="G200" s="209"/>
      <c r="Q200" s="86"/>
    </row>
    <row r="201" spans="1:17">
      <c r="B201" s="48"/>
      <c r="C201" s="56"/>
      <c r="D201" s="56"/>
      <c r="E201" s="239"/>
      <c r="F201" s="56"/>
      <c r="G201" s="100"/>
      <c r="Q201" s="86"/>
    </row>
    <row r="202" spans="1:17">
      <c r="A202" s="11" t="s">
        <v>0</v>
      </c>
      <c r="B202" s="9" t="s">
        <v>40</v>
      </c>
      <c r="C202" s="46"/>
      <c r="D202" s="7"/>
      <c r="E202" s="237"/>
      <c r="F202" s="7"/>
      <c r="G202" s="99"/>
      <c r="H202" s="41"/>
      <c r="Q202" s="91"/>
    </row>
    <row r="203" spans="1:17">
      <c r="E203" s="231"/>
      <c r="H203" s="61"/>
    </row>
    <row r="204" spans="1:17" ht="51">
      <c r="A204" s="43" t="s">
        <v>3</v>
      </c>
      <c r="B204" s="53" t="s">
        <v>72</v>
      </c>
      <c r="E204" s="231"/>
      <c r="H204" s="61"/>
    </row>
    <row r="205" spans="1:17">
      <c r="E205" s="231"/>
      <c r="H205" s="61"/>
    </row>
    <row r="206" spans="1:17">
      <c r="B206" s="52" t="s">
        <v>23</v>
      </c>
      <c r="C206" s="214">
        <v>3</v>
      </c>
      <c r="E206" s="230"/>
      <c r="G206" s="213"/>
      <c r="H206" s="41"/>
    </row>
    <row r="207" spans="1:17">
      <c r="H207" s="61"/>
    </row>
    <row r="208" spans="1:17">
      <c r="A208" s="47"/>
      <c r="B208" s="9" t="s">
        <v>44</v>
      </c>
      <c r="C208" s="56"/>
      <c r="D208" s="56"/>
      <c r="E208" s="112"/>
      <c r="F208" s="56"/>
      <c r="G208" s="209"/>
      <c r="Q208" s="86"/>
    </row>
    <row r="209" spans="8:8">
      <c r="H209" s="61"/>
    </row>
    <row r="210" spans="8:8">
      <c r="H210" s="61"/>
    </row>
  </sheetData>
  <sheetProtection selectLockedCells="1"/>
  <mergeCells count="2">
    <mergeCell ref="E23:G23"/>
    <mergeCell ref="E24:G24"/>
  </mergeCells>
  <conditionalFormatting sqref="G14:G18 C42:G66 C69:G93 C99:G118 C122:G130 C132:G143 C147:G167 C173:G190 C192:G194 C198:G200">
    <cfRule type="cellIs" dxfId="8" priority="4" stopIfTrue="1" operator="greaterThan">
      <formula>0</formula>
    </cfRule>
  </conditionalFormatting>
  <pageMargins left="1.1811023622047245" right="0.15748031496062992" top="0.59055118110236227" bottom="0.59055118110236227" header="0.39370078740157483" footer="0.39370078740157483"/>
  <pageSetup paperSize="9" orientation="portrait" useFirstPageNumber="1" r:id="rId1"/>
  <headerFooter alignWithMargins="0">
    <oddHeader>&amp;R&amp;"Arial,Navadno"&amp;9KANAL PV8</oddHeader>
    <oddFooter>&amp;C&amp;"Arial,Navadno"&amp;10&amp;P</oddFooter>
  </headerFooter>
  <rowBreaks count="8" manualBreakCount="8">
    <brk id="34" max="6" man="1"/>
    <brk id="66" max="6" man="1"/>
    <brk id="94" max="6" man="1"/>
    <brk id="118" max="6" man="1"/>
    <brk id="130" max="6" man="1"/>
    <brk id="143" max="6" man="1"/>
    <brk id="169" max="6" man="1"/>
    <brk id="190" max="6"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Q227"/>
  <sheetViews>
    <sheetView view="pageBreakPreview" topLeftCell="A19" zoomScale="60" zoomScaleNormal="100" workbookViewId="0">
      <selection activeCell="E41" sqref="E41:E219"/>
    </sheetView>
  </sheetViews>
  <sheetFormatPr defaultColWidth="8.6640625" defaultRowHeight="15.75"/>
  <cols>
    <col min="1" max="1" width="6.5546875" style="43" customWidth="1"/>
    <col min="2" max="2" width="27.44140625" style="53" customWidth="1"/>
    <col min="3" max="3" width="7.44140625" style="41" customWidth="1"/>
    <col min="4" max="4" width="1.109375" style="41" customWidth="1"/>
    <col min="5" max="5" width="11.109375" style="107" customWidth="1"/>
    <col min="6" max="6" width="3.44140625" style="41" customWidth="1"/>
    <col min="7" max="7" width="14" style="97" customWidth="1"/>
    <col min="8" max="8" width="3.6640625" style="38" customWidth="1"/>
    <col min="9" max="9" width="14.88671875" style="36" customWidth="1"/>
    <col min="10" max="10" width="8.6640625" style="37" customWidth="1"/>
    <col min="11" max="11" width="25.5546875" style="38" customWidth="1"/>
    <col min="12" max="12" width="15.5546875" style="38" customWidth="1"/>
    <col min="13" max="15" width="8.6640625" style="39" customWidth="1"/>
    <col min="16" max="16" width="8.6640625" style="38" customWidth="1"/>
    <col min="17" max="17" width="11.109375" style="82" customWidth="1"/>
    <col min="18" max="16384" width="8.6640625" style="38"/>
  </cols>
  <sheetData>
    <row r="1" spans="1:17" s="79" customFormat="1" ht="15.95" customHeight="1">
      <c r="A1" s="34"/>
      <c r="B1" s="35" t="s">
        <v>11</v>
      </c>
      <c r="C1" s="1" t="s">
        <v>123</v>
      </c>
      <c r="D1" s="33"/>
      <c r="E1" s="33"/>
      <c r="F1" s="2"/>
      <c r="G1" s="96"/>
      <c r="H1" s="78"/>
      <c r="Q1" s="90"/>
    </row>
    <row r="2" spans="1:17" s="79" customFormat="1" ht="15.95" customHeight="1">
      <c r="A2" s="34"/>
      <c r="B2" s="35"/>
      <c r="C2" s="1" t="s">
        <v>124</v>
      </c>
      <c r="D2" s="33"/>
      <c r="E2" s="33"/>
      <c r="F2" s="2"/>
      <c r="G2" s="96"/>
      <c r="H2" s="78"/>
      <c r="Q2" s="90"/>
    </row>
    <row r="3" spans="1:17" s="79" customFormat="1" ht="15.95" customHeight="1">
      <c r="A3" s="34"/>
      <c r="B3" s="35" t="s">
        <v>8</v>
      </c>
      <c r="C3" s="40" t="s">
        <v>227</v>
      </c>
      <c r="D3" s="33"/>
      <c r="E3" s="106"/>
      <c r="F3" s="2"/>
      <c r="G3" s="96"/>
      <c r="H3" s="78"/>
      <c r="Q3" s="90"/>
    </row>
    <row r="4" spans="1:17" s="79" customFormat="1">
      <c r="A4" s="34"/>
      <c r="B4" s="35" t="s">
        <v>12</v>
      </c>
      <c r="C4" s="40" t="s">
        <v>207</v>
      </c>
      <c r="D4" s="41"/>
      <c r="E4" s="107"/>
      <c r="F4" s="41"/>
      <c r="G4" s="97"/>
      <c r="Q4" s="82"/>
    </row>
    <row r="5" spans="1:17" s="79" customFormat="1">
      <c r="A5" s="34"/>
      <c r="B5" s="35" t="s">
        <v>13</v>
      </c>
      <c r="C5" s="1" t="s">
        <v>172</v>
      </c>
      <c r="D5" s="33"/>
      <c r="E5" s="106"/>
      <c r="F5" s="2"/>
      <c r="G5" s="97"/>
      <c r="Q5" s="90"/>
    </row>
    <row r="6" spans="1:17">
      <c r="A6" s="34"/>
      <c r="B6" s="35"/>
      <c r="C6" s="42" t="s">
        <v>173</v>
      </c>
    </row>
    <row r="7" spans="1:17">
      <c r="A7" s="34"/>
      <c r="B7" s="35"/>
      <c r="C7" s="42"/>
    </row>
    <row r="9" spans="1:17" ht="18">
      <c r="A9" s="43" t="s">
        <v>14</v>
      </c>
      <c r="B9" s="44" t="s">
        <v>52</v>
      </c>
      <c r="C9" s="45"/>
      <c r="D9" s="45"/>
      <c r="E9" s="108"/>
      <c r="F9" s="45"/>
      <c r="G9" s="98"/>
      <c r="Q9" s="83"/>
    </row>
    <row r="10" spans="1:17">
      <c r="B10" s="45"/>
      <c r="C10" s="45"/>
      <c r="D10" s="45"/>
      <c r="E10" s="108"/>
      <c r="F10" s="45"/>
      <c r="G10" s="98"/>
      <c r="Q10" s="83"/>
    </row>
    <row r="12" spans="1:17" s="7" customFormat="1">
      <c r="A12" s="8" t="s">
        <v>15</v>
      </c>
      <c r="B12" s="9" t="s">
        <v>16</v>
      </c>
      <c r="C12" s="46"/>
      <c r="E12" s="109"/>
      <c r="G12" s="99"/>
      <c r="I12" s="26"/>
      <c r="J12" s="22"/>
      <c r="M12" s="30"/>
      <c r="N12" s="30"/>
      <c r="O12" s="30"/>
      <c r="Q12" s="91"/>
    </row>
    <row r="13" spans="1:17" s="7" customFormat="1">
      <c r="A13" s="8"/>
      <c r="B13" s="9"/>
      <c r="C13" s="46"/>
      <c r="E13" s="109"/>
      <c r="G13" s="99"/>
      <c r="I13" s="26"/>
      <c r="J13" s="22"/>
      <c r="M13" s="30"/>
      <c r="N13" s="30"/>
      <c r="O13" s="30"/>
      <c r="Q13" s="91"/>
    </row>
    <row r="14" spans="1:17" s="7" customFormat="1">
      <c r="A14" s="47" t="s">
        <v>27</v>
      </c>
      <c r="B14" s="48" t="s">
        <v>26</v>
      </c>
      <c r="C14" s="49"/>
      <c r="D14" s="49"/>
      <c r="E14" s="110"/>
      <c r="F14" s="49"/>
      <c r="G14" s="209"/>
      <c r="H14" s="80"/>
      <c r="I14" s="26"/>
      <c r="J14" s="22"/>
      <c r="K14" s="119"/>
      <c r="M14" s="30"/>
      <c r="N14" s="30"/>
      <c r="O14" s="30"/>
      <c r="Q14" s="84"/>
    </row>
    <row r="15" spans="1:17">
      <c r="A15" s="47" t="s">
        <v>32</v>
      </c>
      <c r="B15" s="48" t="s">
        <v>17</v>
      </c>
      <c r="C15" s="49"/>
      <c r="D15" s="49"/>
      <c r="E15" s="110"/>
      <c r="F15" s="49"/>
      <c r="G15" s="209"/>
      <c r="H15" s="80"/>
      <c r="K15" s="116"/>
      <c r="Q15" s="84"/>
    </row>
    <row r="16" spans="1:17">
      <c r="A16" s="47" t="s">
        <v>42</v>
      </c>
      <c r="B16" s="48" t="s">
        <v>18</v>
      </c>
      <c r="C16" s="49"/>
      <c r="D16" s="49"/>
      <c r="E16" s="110"/>
      <c r="F16" s="49"/>
      <c r="G16" s="209"/>
      <c r="H16" s="80"/>
      <c r="K16" s="116"/>
      <c r="Q16" s="84"/>
    </row>
    <row r="17" spans="1:17">
      <c r="A17" s="47"/>
      <c r="B17" s="48"/>
      <c r="C17" s="49"/>
      <c r="D17" s="49"/>
      <c r="E17" s="110"/>
      <c r="F17" s="49"/>
      <c r="G17" s="100"/>
      <c r="K17" s="116"/>
      <c r="Q17" s="84"/>
    </row>
    <row r="18" spans="1:17" ht="16.5" thickBot="1">
      <c r="A18" s="47"/>
      <c r="B18" s="50" t="s">
        <v>53</v>
      </c>
      <c r="C18" s="51"/>
      <c r="D18" s="51"/>
      <c r="E18" s="111"/>
      <c r="F18" s="51"/>
      <c r="G18" s="210"/>
      <c r="H18" s="80"/>
      <c r="J18" s="222"/>
      <c r="K18" s="117"/>
      <c r="Q18" s="85"/>
    </row>
    <row r="22" spans="1:17" ht="15.95" customHeight="1">
      <c r="B22" s="53" t="s">
        <v>81</v>
      </c>
      <c r="E22" s="458" t="s">
        <v>143</v>
      </c>
      <c r="F22" s="458"/>
      <c r="G22" s="458"/>
    </row>
    <row r="23" spans="1:17" ht="84.75" customHeight="1">
      <c r="B23" s="53" t="s">
        <v>84</v>
      </c>
      <c r="E23" s="458" t="s">
        <v>241</v>
      </c>
      <c r="F23" s="458"/>
      <c r="G23" s="458"/>
    </row>
    <row r="25" spans="1:17">
      <c r="B25" s="53" t="s">
        <v>82</v>
      </c>
    </row>
    <row r="26" spans="1:17" ht="63.75">
      <c r="B26" s="53" t="s">
        <v>83</v>
      </c>
    </row>
    <row r="28" spans="1:17">
      <c r="K28" s="53"/>
    </row>
    <row r="29" spans="1:17">
      <c r="K29" s="53"/>
    </row>
    <row r="33" spans="1:17">
      <c r="B33" s="53" t="s">
        <v>166</v>
      </c>
    </row>
    <row r="34" spans="1:17" s="7" customFormat="1">
      <c r="A34" s="43"/>
      <c r="B34" s="53"/>
      <c r="C34" s="41"/>
      <c r="D34" s="41"/>
      <c r="E34" s="107"/>
      <c r="F34" s="41"/>
      <c r="G34" s="97"/>
      <c r="H34" s="38"/>
      <c r="I34" s="26"/>
      <c r="J34" s="22"/>
      <c r="M34" s="30"/>
      <c r="N34" s="30"/>
      <c r="O34" s="30"/>
      <c r="Q34" s="82"/>
    </row>
    <row r="35" spans="1:17">
      <c r="A35" s="11" t="s">
        <v>19</v>
      </c>
      <c r="B35" s="9" t="s">
        <v>16</v>
      </c>
      <c r="C35" s="46"/>
      <c r="D35" s="7"/>
      <c r="E35" s="109"/>
      <c r="F35" s="7"/>
      <c r="G35" s="99"/>
      <c r="H35" s="7"/>
      <c r="Q35" s="91"/>
    </row>
    <row r="36" spans="1:17" s="7" customFormat="1">
      <c r="A36" s="43"/>
      <c r="B36" s="55"/>
      <c r="C36" s="56"/>
      <c r="D36" s="56"/>
      <c r="E36" s="112"/>
      <c r="F36" s="56"/>
      <c r="G36" s="101"/>
      <c r="H36" s="38"/>
      <c r="I36" s="26"/>
      <c r="J36" s="22"/>
      <c r="M36" s="30"/>
      <c r="N36" s="30"/>
      <c r="O36" s="30"/>
      <c r="Q36" s="86"/>
    </row>
    <row r="37" spans="1:17" s="7" customFormat="1">
      <c r="A37" s="11" t="s">
        <v>27</v>
      </c>
      <c r="B37" s="9" t="s">
        <v>26</v>
      </c>
      <c r="C37" s="46"/>
      <c r="E37" s="109"/>
      <c r="G37" s="99"/>
      <c r="I37" s="26"/>
      <c r="J37" s="22"/>
      <c r="M37" s="30"/>
      <c r="N37" s="30"/>
      <c r="O37" s="30"/>
      <c r="Q37" s="91"/>
    </row>
    <row r="38" spans="1:17" s="7" customFormat="1">
      <c r="A38" s="8"/>
      <c r="B38" s="9"/>
      <c r="C38" s="207" t="s">
        <v>170</v>
      </c>
      <c r="D38" s="203"/>
      <c r="E38" s="208" t="s">
        <v>171</v>
      </c>
      <c r="F38" s="203"/>
      <c r="G38" s="208" t="s">
        <v>164</v>
      </c>
      <c r="I38" s="26"/>
      <c r="J38" s="22"/>
      <c r="M38" s="30"/>
      <c r="N38" s="30"/>
      <c r="O38" s="30"/>
      <c r="Q38" s="91"/>
    </row>
    <row r="39" spans="1:17" s="17" customFormat="1" ht="39">
      <c r="A39" s="12" t="s">
        <v>28</v>
      </c>
      <c r="B39" s="13" t="s">
        <v>139</v>
      </c>
      <c r="C39" s="46"/>
      <c r="D39" s="7"/>
      <c r="E39" s="109"/>
      <c r="F39" s="7"/>
      <c r="G39" s="99"/>
      <c r="H39" s="7"/>
      <c r="I39" s="27"/>
      <c r="J39" s="23"/>
      <c r="M39" s="31"/>
      <c r="N39" s="31"/>
      <c r="O39" s="31"/>
      <c r="Q39" s="91"/>
    </row>
    <row r="40" spans="1:17" s="7" customFormat="1">
      <c r="A40" s="18"/>
      <c r="B40" s="13"/>
      <c r="C40" s="57"/>
      <c r="D40" s="17"/>
      <c r="E40" s="113"/>
      <c r="F40" s="17"/>
      <c r="G40" s="102"/>
      <c r="H40" s="17"/>
      <c r="I40" s="26"/>
      <c r="J40" s="22"/>
      <c r="M40" s="30"/>
      <c r="N40" s="30"/>
      <c r="O40" s="30"/>
      <c r="Q40" s="92"/>
    </row>
    <row r="41" spans="1:17" s="7" customFormat="1">
      <c r="A41" s="8"/>
      <c r="B41" s="52" t="s">
        <v>22</v>
      </c>
      <c r="C41" s="214">
        <v>157</v>
      </c>
      <c r="D41" s="41"/>
      <c r="E41" s="230"/>
      <c r="F41" s="81"/>
      <c r="G41" s="213"/>
      <c r="H41" s="81"/>
      <c r="I41" s="26"/>
      <c r="J41" s="22"/>
      <c r="M41" s="30"/>
      <c r="N41" s="30"/>
      <c r="O41" s="30"/>
      <c r="Q41" s="82"/>
    </row>
    <row r="42" spans="1:17" s="7" customFormat="1">
      <c r="A42" s="8"/>
      <c r="B42" s="14"/>
      <c r="C42" s="46"/>
      <c r="E42" s="231"/>
      <c r="G42" s="99"/>
      <c r="I42" s="26"/>
      <c r="J42" s="22"/>
      <c r="M42" s="30"/>
      <c r="N42" s="30"/>
      <c r="O42" s="30"/>
      <c r="Q42" s="91"/>
    </row>
    <row r="43" spans="1:17" s="19" customFormat="1" ht="76.5">
      <c r="A43" s="12" t="s">
        <v>30</v>
      </c>
      <c r="B43" s="127" t="s">
        <v>140</v>
      </c>
      <c r="C43" s="46"/>
      <c r="D43" s="7"/>
      <c r="E43" s="231"/>
      <c r="F43" s="7"/>
      <c r="G43" s="99"/>
      <c r="H43" s="7"/>
      <c r="I43" s="28"/>
      <c r="J43" s="24"/>
      <c r="K43" s="52"/>
      <c r="M43" s="32"/>
      <c r="N43" s="32"/>
      <c r="O43" s="32"/>
      <c r="Q43" s="91"/>
    </row>
    <row r="44" spans="1:17" s="7" customFormat="1">
      <c r="A44" s="20"/>
      <c r="B44" s="52"/>
      <c r="C44" s="58"/>
      <c r="D44" s="19"/>
      <c r="E44" s="231"/>
      <c r="F44" s="19"/>
      <c r="G44" s="103"/>
      <c r="H44" s="19"/>
      <c r="I44" s="26"/>
      <c r="J44" s="22"/>
      <c r="M44" s="30"/>
      <c r="N44" s="30"/>
      <c r="O44" s="30"/>
      <c r="Q44" s="93"/>
    </row>
    <row r="45" spans="1:17" s="7" customFormat="1">
      <c r="A45" s="8"/>
      <c r="B45" s="52" t="s">
        <v>55</v>
      </c>
      <c r="C45" s="214">
        <v>1</v>
      </c>
      <c r="D45" s="41"/>
      <c r="E45" s="232"/>
      <c r="F45" s="81"/>
      <c r="G45" s="213"/>
      <c r="H45" s="81"/>
      <c r="I45" s="26"/>
      <c r="J45" s="22"/>
      <c r="M45" s="30"/>
      <c r="N45" s="30"/>
      <c r="O45" s="30"/>
      <c r="Q45" s="82"/>
    </row>
    <row r="46" spans="1:17" s="7" customFormat="1">
      <c r="A46" s="8"/>
      <c r="B46" s="52"/>
      <c r="C46" s="41"/>
      <c r="D46" s="41"/>
      <c r="E46" s="231"/>
      <c r="F46" s="41"/>
      <c r="G46" s="97"/>
      <c r="H46" s="41"/>
      <c r="I46" s="26"/>
      <c r="J46" s="22"/>
      <c r="M46" s="30"/>
      <c r="N46" s="30"/>
      <c r="O46" s="30"/>
      <c r="Q46" s="82"/>
    </row>
    <row r="47" spans="1:17" s="19" customFormat="1" ht="57" customHeight="1">
      <c r="A47" s="12" t="s">
        <v>31</v>
      </c>
      <c r="B47" s="52" t="s">
        <v>66</v>
      </c>
      <c r="C47" s="46"/>
      <c r="D47" s="7"/>
      <c r="E47" s="237"/>
      <c r="F47" s="7"/>
      <c r="G47" s="99"/>
      <c r="H47" s="7"/>
      <c r="I47" s="28"/>
      <c r="J47" s="24"/>
      <c r="M47" s="32"/>
      <c r="N47" s="32"/>
      <c r="O47" s="32"/>
      <c r="Q47" s="91"/>
    </row>
    <row r="48" spans="1:17" s="7" customFormat="1">
      <c r="A48" s="20"/>
      <c r="B48" s="52"/>
      <c r="C48" s="58"/>
      <c r="D48" s="19"/>
      <c r="E48" s="250"/>
      <c r="F48" s="19"/>
      <c r="G48" s="103"/>
      <c r="H48" s="19"/>
      <c r="I48" s="26"/>
      <c r="J48" s="22"/>
      <c r="M48" s="30"/>
      <c r="N48" s="30"/>
      <c r="O48" s="30"/>
      <c r="Q48" s="93"/>
    </row>
    <row r="49" spans="1:17" s="7" customFormat="1">
      <c r="A49" s="8"/>
      <c r="B49" s="52" t="s">
        <v>23</v>
      </c>
      <c r="C49" s="214">
        <v>3</v>
      </c>
      <c r="D49" s="41"/>
      <c r="E49" s="232"/>
      <c r="F49" s="81"/>
      <c r="G49" s="213"/>
      <c r="H49" s="81"/>
      <c r="I49" s="26"/>
      <c r="J49" s="22"/>
      <c r="M49" s="30"/>
      <c r="N49" s="30"/>
      <c r="O49" s="30"/>
      <c r="Q49" s="82"/>
    </row>
    <row r="50" spans="1:17" s="7" customFormat="1">
      <c r="A50" s="8"/>
      <c r="B50" s="52"/>
      <c r="C50" s="41"/>
      <c r="D50" s="41"/>
      <c r="E50" s="231"/>
      <c r="F50" s="41"/>
      <c r="G50" s="97"/>
      <c r="H50" s="41"/>
      <c r="I50" s="26"/>
      <c r="J50" s="22"/>
      <c r="M50" s="30"/>
      <c r="N50" s="30"/>
      <c r="O50" s="30"/>
      <c r="Q50" s="82"/>
    </row>
    <row r="51" spans="1:17" s="19" customFormat="1" ht="57.75" customHeight="1">
      <c r="A51" s="12" t="s">
        <v>56</v>
      </c>
      <c r="B51" s="52" t="s">
        <v>68</v>
      </c>
      <c r="C51" s="41"/>
      <c r="D51" s="41"/>
      <c r="E51" s="231"/>
      <c r="F51" s="41"/>
      <c r="G51" s="97"/>
      <c r="H51" s="7"/>
      <c r="I51" s="28"/>
      <c r="J51" s="24"/>
      <c r="M51" s="32"/>
      <c r="N51" s="32"/>
      <c r="O51" s="32"/>
      <c r="Q51" s="82"/>
    </row>
    <row r="52" spans="1:17" s="7" customFormat="1">
      <c r="A52" s="20"/>
      <c r="B52" s="52"/>
      <c r="C52" s="59"/>
      <c r="D52" s="59"/>
      <c r="E52" s="231"/>
      <c r="F52" s="59"/>
      <c r="G52" s="104"/>
      <c r="H52" s="19"/>
      <c r="I52" s="26"/>
      <c r="J52" s="22"/>
      <c r="M52" s="30"/>
      <c r="N52" s="30"/>
      <c r="O52" s="30"/>
      <c r="Q52" s="87"/>
    </row>
    <row r="53" spans="1:17" s="7" customFormat="1">
      <c r="A53" s="8"/>
      <c r="B53" s="52" t="s">
        <v>23</v>
      </c>
      <c r="C53" s="214">
        <f>INT(C41/20)+1</f>
        <v>8</v>
      </c>
      <c r="D53" s="41"/>
      <c r="E53" s="232"/>
      <c r="F53" s="81"/>
      <c r="G53" s="213"/>
      <c r="H53" s="81"/>
      <c r="I53" s="26"/>
      <c r="J53" s="22"/>
      <c r="M53" s="30"/>
      <c r="N53" s="30"/>
      <c r="O53" s="30"/>
      <c r="Q53" s="82"/>
    </row>
    <row r="54" spans="1:17" s="7" customFormat="1">
      <c r="A54" s="8"/>
      <c r="B54" s="52"/>
      <c r="C54" s="41"/>
      <c r="D54" s="41"/>
      <c r="E54" s="231"/>
      <c r="F54" s="41"/>
      <c r="G54" s="97"/>
      <c r="H54" s="41"/>
      <c r="I54" s="26"/>
      <c r="J54" s="22"/>
      <c r="M54" s="30"/>
      <c r="N54" s="30"/>
      <c r="O54" s="30"/>
      <c r="Q54" s="82"/>
    </row>
    <row r="55" spans="1:17" s="7" customFormat="1" ht="38.25">
      <c r="A55" s="12" t="s">
        <v>5</v>
      </c>
      <c r="B55" s="52" t="s">
        <v>6</v>
      </c>
      <c r="C55" s="41"/>
      <c r="D55" s="41"/>
      <c r="E55" s="231"/>
      <c r="F55" s="41"/>
      <c r="G55" s="97"/>
      <c r="I55" s="26"/>
      <c r="J55" s="22"/>
      <c r="M55" s="30"/>
      <c r="N55" s="30"/>
      <c r="O55" s="30"/>
      <c r="Q55" s="82"/>
    </row>
    <row r="56" spans="1:17" s="7" customFormat="1">
      <c r="A56" s="20"/>
      <c r="B56" s="52"/>
      <c r="C56" s="59"/>
      <c r="D56" s="59"/>
      <c r="E56" s="233"/>
      <c r="F56" s="59"/>
      <c r="G56" s="104"/>
      <c r="H56" s="19"/>
      <c r="I56" s="26"/>
      <c r="J56" s="22"/>
      <c r="M56" s="30"/>
      <c r="N56" s="30"/>
      <c r="O56" s="30"/>
      <c r="Q56" s="87"/>
    </row>
    <row r="57" spans="1:17" s="7" customFormat="1">
      <c r="A57" s="8"/>
      <c r="B57" s="52" t="s">
        <v>29</v>
      </c>
      <c r="C57" s="214">
        <v>1</v>
      </c>
      <c r="D57" s="41"/>
      <c r="E57" s="232"/>
      <c r="F57" s="81"/>
      <c r="G57" s="213"/>
      <c r="H57" s="81"/>
      <c r="I57" s="26"/>
      <c r="J57" s="22"/>
      <c r="M57" s="30"/>
      <c r="N57" s="30"/>
      <c r="O57" s="30"/>
      <c r="Q57" s="82"/>
    </row>
    <row r="58" spans="1:17" s="7" customFormat="1">
      <c r="A58" s="8"/>
      <c r="B58" s="52"/>
      <c r="C58" s="41"/>
      <c r="D58" s="41"/>
      <c r="E58" s="231"/>
      <c r="F58" s="41"/>
      <c r="G58" s="97"/>
      <c r="H58" s="41"/>
      <c r="I58" s="26"/>
      <c r="J58" s="22"/>
      <c r="M58" s="30"/>
      <c r="N58" s="30"/>
      <c r="O58" s="30"/>
      <c r="Q58" s="82"/>
    </row>
    <row r="59" spans="1:17" s="19" customFormat="1" ht="48" customHeight="1">
      <c r="A59" s="12" t="s">
        <v>75</v>
      </c>
      <c r="B59" s="52" t="s">
        <v>136</v>
      </c>
      <c r="C59" s="41"/>
      <c r="D59" s="41"/>
      <c r="E59" s="231"/>
      <c r="F59" s="41"/>
      <c r="G59" s="97"/>
      <c r="H59" s="7"/>
      <c r="I59" s="28"/>
      <c r="J59" s="24"/>
      <c r="M59" s="32"/>
      <c r="N59" s="32"/>
      <c r="O59" s="32"/>
      <c r="Q59" s="82"/>
    </row>
    <row r="60" spans="1:17" s="7" customFormat="1">
      <c r="A60" s="20"/>
      <c r="B60" s="52"/>
      <c r="C60" s="59"/>
      <c r="D60" s="59"/>
      <c r="E60" s="233"/>
      <c r="F60" s="59"/>
      <c r="G60" s="104"/>
      <c r="H60" s="19"/>
      <c r="I60" s="26"/>
      <c r="J60" s="22"/>
      <c r="M60" s="30"/>
      <c r="N60" s="30"/>
      <c r="O60" s="30"/>
      <c r="Q60" s="87"/>
    </row>
    <row r="61" spans="1:17" s="7" customFormat="1">
      <c r="A61" s="8"/>
      <c r="B61" s="52" t="s">
        <v>23</v>
      </c>
      <c r="C61" s="214">
        <v>1</v>
      </c>
      <c r="D61" s="41"/>
      <c r="E61" s="232"/>
      <c r="F61" s="81"/>
      <c r="G61" s="213"/>
      <c r="H61" s="81"/>
      <c r="I61" s="26"/>
      <c r="J61" s="22"/>
      <c r="M61" s="30"/>
      <c r="N61" s="30"/>
      <c r="O61" s="30"/>
      <c r="Q61" s="82"/>
    </row>
    <row r="62" spans="1:17" s="7" customFormat="1">
      <c r="A62" s="8"/>
      <c r="B62" s="52"/>
      <c r="C62" s="41"/>
      <c r="D62" s="41"/>
      <c r="E62" s="231"/>
      <c r="F62" s="81"/>
      <c r="G62" s="97"/>
      <c r="H62" s="81"/>
      <c r="I62" s="26"/>
      <c r="J62" s="22"/>
      <c r="M62" s="30"/>
      <c r="N62" s="30"/>
      <c r="O62" s="30"/>
      <c r="Q62" s="82"/>
    </row>
    <row r="63" spans="1:17" s="19" customFormat="1" ht="34.5" customHeight="1">
      <c r="A63" s="12" t="s">
        <v>137</v>
      </c>
      <c r="B63" s="52" t="s">
        <v>138</v>
      </c>
      <c r="C63" s="41"/>
      <c r="D63" s="41"/>
      <c r="E63" s="231"/>
      <c r="F63" s="41"/>
      <c r="G63" s="97"/>
      <c r="H63" s="7"/>
      <c r="I63" s="28"/>
      <c r="J63" s="24"/>
      <c r="M63" s="32"/>
      <c r="N63" s="32"/>
      <c r="O63" s="32"/>
      <c r="Q63" s="82"/>
    </row>
    <row r="64" spans="1:17" s="7" customFormat="1">
      <c r="A64" s="20"/>
      <c r="B64" s="52"/>
      <c r="C64" s="59"/>
      <c r="D64" s="59"/>
      <c r="E64" s="233"/>
      <c r="F64" s="59"/>
      <c r="G64" s="104"/>
      <c r="H64" s="19"/>
      <c r="I64" s="26"/>
      <c r="J64" s="22"/>
      <c r="M64" s="30"/>
      <c r="N64" s="30"/>
      <c r="O64" s="30"/>
      <c r="Q64" s="87"/>
    </row>
    <row r="65" spans="1:17" s="7" customFormat="1">
      <c r="A65" s="8"/>
      <c r="B65" s="52" t="s">
        <v>71</v>
      </c>
      <c r="C65" s="214">
        <v>157</v>
      </c>
      <c r="D65" s="41"/>
      <c r="E65" s="232"/>
      <c r="F65" s="81"/>
      <c r="G65" s="213"/>
      <c r="H65" s="81"/>
      <c r="I65" s="26"/>
      <c r="J65" s="22"/>
      <c r="M65" s="30"/>
      <c r="N65" s="30"/>
      <c r="O65" s="30"/>
      <c r="Q65" s="82"/>
    </row>
    <row r="66" spans="1:17" s="7" customFormat="1">
      <c r="A66" s="8"/>
      <c r="B66" s="52"/>
      <c r="C66" s="207" t="s">
        <v>170</v>
      </c>
      <c r="D66" s="203"/>
      <c r="E66" s="235" t="s">
        <v>171</v>
      </c>
      <c r="F66" s="203"/>
      <c r="G66" s="208" t="s">
        <v>164</v>
      </c>
      <c r="H66" s="41"/>
      <c r="I66" s="26"/>
      <c r="J66" s="22"/>
      <c r="M66" s="30"/>
      <c r="N66" s="30"/>
      <c r="O66" s="30"/>
      <c r="Q66" s="82"/>
    </row>
    <row r="67" spans="1:17" s="7" customFormat="1" ht="86.25" customHeight="1">
      <c r="A67" s="12" t="s">
        <v>54</v>
      </c>
      <c r="B67" s="52" t="s">
        <v>228</v>
      </c>
      <c r="C67" s="41"/>
      <c r="D67" s="41"/>
      <c r="E67" s="231"/>
      <c r="F67" s="41"/>
      <c r="G67" s="97"/>
      <c r="I67" s="26"/>
      <c r="J67" s="22"/>
      <c r="M67" s="30"/>
      <c r="N67" s="30"/>
      <c r="O67" s="30"/>
      <c r="Q67" s="82"/>
    </row>
    <row r="68" spans="1:17" s="7" customFormat="1" ht="44.25" customHeight="1">
      <c r="A68" s="8"/>
      <c r="B68" s="52" t="s">
        <v>116</v>
      </c>
      <c r="C68" s="214">
        <v>1</v>
      </c>
      <c r="D68" s="41"/>
      <c r="E68" s="232"/>
      <c r="F68" s="81"/>
      <c r="G68" s="213"/>
      <c r="H68" s="81"/>
      <c r="I68" s="26"/>
      <c r="J68" s="22"/>
      <c r="M68" s="30"/>
      <c r="N68" s="30"/>
      <c r="O68" s="30"/>
      <c r="Q68" s="82"/>
    </row>
    <row r="69" spans="1:17" s="7" customFormat="1" ht="15.95" customHeight="1">
      <c r="A69" s="8"/>
      <c r="B69" s="52"/>
      <c r="C69" s="41"/>
      <c r="D69" s="41"/>
      <c r="E69" s="231"/>
      <c r="F69" s="41"/>
      <c r="G69" s="97"/>
      <c r="I69" s="26"/>
      <c r="J69" s="22"/>
      <c r="M69" s="30"/>
      <c r="N69" s="30"/>
      <c r="O69" s="30"/>
      <c r="Q69" s="82"/>
    </row>
    <row r="70" spans="1:17" s="7" customFormat="1" ht="15.95" customHeight="1">
      <c r="A70" s="12" t="s">
        <v>61</v>
      </c>
      <c r="B70" s="52" t="s">
        <v>62</v>
      </c>
      <c r="C70" s="41"/>
      <c r="D70" s="41"/>
      <c r="E70" s="231"/>
      <c r="F70" s="41"/>
      <c r="G70" s="97"/>
      <c r="I70" s="26"/>
      <c r="J70" s="22"/>
      <c r="M70" s="30"/>
      <c r="N70" s="30"/>
      <c r="O70" s="30"/>
      <c r="Q70" s="82"/>
    </row>
    <row r="71" spans="1:17" s="7" customFormat="1" ht="15.95" customHeight="1">
      <c r="A71" s="20"/>
      <c r="B71" s="52"/>
      <c r="C71" s="59"/>
      <c r="D71" s="59"/>
      <c r="E71" s="233"/>
      <c r="F71" s="59"/>
      <c r="G71" s="104"/>
      <c r="H71" s="19"/>
      <c r="I71" s="26"/>
      <c r="J71" s="22"/>
      <c r="M71" s="30"/>
      <c r="N71" s="30"/>
      <c r="O71" s="30"/>
      <c r="Q71" s="87"/>
    </row>
    <row r="72" spans="1:17" s="7" customFormat="1" ht="15.95" customHeight="1">
      <c r="A72" s="8"/>
      <c r="B72" s="52" t="s">
        <v>41</v>
      </c>
      <c r="C72" s="214">
        <v>6.5</v>
      </c>
      <c r="D72" s="41"/>
      <c r="E72" s="232"/>
      <c r="F72" s="81"/>
      <c r="G72" s="213"/>
      <c r="H72" s="81"/>
      <c r="I72" s="26"/>
      <c r="J72" s="22"/>
      <c r="M72" s="30"/>
      <c r="N72" s="30"/>
      <c r="O72" s="30"/>
      <c r="Q72" s="82"/>
    </row>
    <row r="73" spans="1:17" s="7" customFormat="1" ht="15.95" customHeight="1">
      <c r="A73" s="8"/>
      <c r="B73" s="52"/>
      <c r="C73" s="41"/>
      <c r="D73" s="41"/>
      <c r="E73" s="231"/>
      <c r="F73" s="41"/>
      <c r="G73" s="97"/>
      <c r="H73" s="41"/>
      <c r="I73" s="26"/>
      <c r="J73" s="22"/>
      <c r="M73" s="30"/>
      <c r="N73" s="30"/>
      <c r="O73" s="30"/>
      <c r="Q73" s="82"/>
    </row>
    <row r="74" spans="1:17" s="7" customFormat="1" ht="89.25" customHeight="1">
      <c r="A74" s="12" t="s">
        <v>73</v>
      </c>
      <c r="B74" s="52" t="s">
        <v>135</v>
      </c>
      <c r="C74" s="41"/>
      <c r="D74" s="41"/>
      <c r="E74" s="231"/>
      <c r="F74" s="41"/>
      <c r="G74" s="97"/>
      <c r="I74" s="26"/>
      <c r="J74" s="22"/>
      <c r="M74" s="30"/>
      <c r="N74" s="30"/>
      <c r="O74" s="30"/>
      <c r="Q74" s="82"/>
    </row>
    <row r="75" spans="1:17" s="7" customFormat="1" ht="15.95" customHeight="1">
      <c r="A75" s="20"/>
      <c r="B75" s="52"/>
      <c r="C75" s="59"/>
      <c r="D75" s="59"/>
      <c r="E75" s="233"/>
      <c r="F75" s="59"/>
      <c r="G75" s="104"/>
      <c r="H75" s="19"/>
      <c r="I75" s="26"/>
      <c r="J75" s="22"/>
      <c r="M75" s="30"/>
      <c r="N75" s="30"/>
      <c r="O75" s="30"/>
      <c r="Q75" s="87"/>
    </row>
    <row r="76" spans="1:17" s="7" customFormat="1" ht="15.95" customHeight="1">
      <c r="A76" s="8"/>
      <c r="B76" s="52" t="s">
        <v>23</v>
      </c>
      <c r="C76" s="214">
        <v>1</v>
      </c>
      <c r="D76" s="41"/>
      <c r="E76" s="232"/>
      <c r="F76" s="81"/>
      <c r="G76" s="213"/>
      <c r="H76" s="81"/>
      <c r="I76" s="26"/>
      <c r="J76" s="22"/>
      <c r="M76" s="30"/>
      <c r="N76" s="30"/>
      <c r="O76" s="30"/>
      <c r="Q76" s="82"/>
    </row>
    <row r="77" spans="1:17" s="7" customFormat="1" ht="15.95" customHeight="1">
      <c r="A77" s="8"/>
      <c r="B77" s="52"/>
      <c r="C77" s="41"/>
      <c r="D77" s="41"/>
      <c r="E77" s="231"/>
      <c r="F77" s="41"/>
      <c r="G77" s="97"/>
      <c r="H77" s="41"/>
      <c r="I77" s="26"/>
      <c r="J77" s="22"/>
      <c r="M77" s="30"/>
      <c r="N77" s="30"/>
      <c r="O77" s="30"/>
      <c r="Q77" s="82"/>
    </row>
    <row r="78" spans="1:17" s="7" customFormat="1" ht="33.950000000000003" customHeight="1">
      <c r="A78" s="12" t="s">
        <v>74</v>
      </c>
      <c r="B78" s="52" t="s">
        <v>10</v>
      </c>
      <c r="C78" s="41"/>
      <c r="D78" s="41"/>
      <c r="E78" s="231"/>
      <c r="F78" s="41"/>
      <c r="G78" s="97"/>
      <c r="I78" s="26"/>
      <c r="J78" s="22"/>
      <c r="M78" s="30"/>
      <c r="N78" s="30"/>
      <c r="O78" s="30"/>
      <c r="Q78" s="82"/>
    </row>
    <row r="79" spans="1:17" s="7" customFormat="1" ht="15.95" customHeight="1">
      <c r="A79" s="20"/>
      <c r="B79" s="52"/>
      <c r="C79" s="59"/>
      <c r="D79" s="59"/>
      <c r="E79" s="233"/>
      <c r="F79" s="59"/>
      <c r="G79" s="104"/>
      <c r="H79" s="19"/>
      <c r="I79" s="26"/>
      <c r="J79" s="22"/>
      <c r="M79" s="30"/>
      <c r="N79" s="30"/>
      <c r="O79" s="30"/>
      <c r="Q79" s="87"/>
    </row>
    <row r="80" spans="1:17" s="7" customFormat="1" ht="15.95" customHeight="1">
      <c r="A80" s="8"/>
      <c r="B80" s="52" t="s">
        <v>23</v>
      </c>
      <c r="C80" s="214">
        <v>1</v>
      </c>
      <c r="D80" s="41"/>
      <c r="E80" s="232"/>
      <c r="F80" s="81"/>
      <c r="G80" s="213"/>
      <c r="H80" s="81"/>
      <c r="I80" s="26"/>
      <c r="J80" s="22"/>
      <c r="M80" s="30"/>
      <c r="N80" s="30"/>
      <c r="O80" s="30"/>
      <c r="Q80" s="82"/>
    </row>
    <row r="81" spans="1:17" s="7" customFormat="1" ht="15.95" customHeight="1">
      <c r="A81" s="8"/>
      <c r="B81" s="52"/>
      <c r="C81" s="41"/>
      <c r="D81" s="41"/>
      <c r="E81" s="231"/>
      <c r="F81" s="41"/>
      <c r="G81" s="97"/>
      <c r="I81" s="26"/>
      <c r="J81" s="22"/>
      <c r="M81" s="30"/>
      <c r="N81" s="30"/>
      <c r="O81" s="30"/>
      <c r="Q81" s="82"/>
    </row>
    <row r="82" spans="1:17" s="7" customFormat="1" ht="31.5">
      <c r="A82" s="11"/>
      <c r="B82" s="60" t="s">
        <v>43</v>
      </c>
      <c r="C82" s="49"/>
      <c r="D82" s="49"/>
      <c r="E82" s="236"/>
      <c r="F82" s="49"/>
      <c r="G82" s="209"/>
      <c r="H82" s="49"/>
      <c r="I82" s="118"/>
      <c r="J82" s="22"/>
      <c r="M82" s="30"/>
      <c r="N82" s="30"/>
      <c r="O82" s="30"/>
      <c r="Q82" s="84"/>
    </row>
    <row r="83" spans="1:17" s="7" customFormat="1">
      <c r="A83" s="11"/>
      <c r="B83" s="60"/>
      <c r="C83" s="49"/>
      <c r="D83" s="49"/>
      <c r="E83" s="236"/>
      <c r="F83" s="49"/>
      <c r="G83" s="100"/>
      <c r="H83" s="49"/>
      <c r="I83" s="26"/>
      <c r="J83" s="22"/>
      <c r="M83" s="30"/>
      <c r="N83" s="30"/>
      <c r="O83" s="30"/>
      <c r="Q83" s="84"/>
    </row>
    <row r="84" spans="1:17" s="7" customFormat="1">
      <c r="A84" s="11" t="s">
        <v>32</v>
      </c>
      <c r="B84" s="9" t="s">
        <v>17</v>
      </c>
      <c r="C84" s="46"/>
      <c r="E84" s="237"/>
      <c r="G84" s="99"/>
      <c r="I84" s="26"/>
      <c r="J84" s="22"/>
      <c r="M84" s="30"/>
      <c r="N84" s="30"/>
      <c r="O84" s="30"/>
      <c r="Q84" s="91"/>
    </row>
    <row r="85" spans="1:17">
      <c r="B85" s="52"/>
      <c r="E85" s="231"/>
      <c r="H85" s="61"/>
    </row>
    <row r="86" spans="1:17" ht="63.75">
      <c r="A86" s="43" t="s">
        <v>34</v>
      </c>
      <c r="B86" s="52" t="s">
        <v>133</v>
      </c>
      <c r="E86" s="231"/>
      <c r="H86" s="61"/>
      <c r="J86" s="52"/>
    </row>
    <row r="87" spans="1:17">
      <c r="B87" s="52"/>
      <c r="E87" s="231"/>
      <c r="H87" s="61"/>
    </row>
    <row r="88" spans="1:17">
      <c r="B88" s="52" t="s">
        <v>25</v>
      </c>
      <c r="C88" s="214">
        <f>34.2/0.09</f>
        <v>380.00000000000006</v>
      </c>
      <c r="E88" s="232"/>
      <c r="F88" s="81"/>
      <c r="G88" s="213"/>
      <c r="H88" s="81"/>
    </row>
    <row r="89" spans="1:17">
      <c r="B89" s="52"/>
      <c r="E89" s="231"/>
      <c r="H89" s="61"/>
    </row>
    <row r="90" spans="1:17" ht="65.25">
      <c r="A90" s="43" t="s">
        <v>35</v>
      </c>
      <c r="B90" s="52" t="s">
        <v>87</v>
      </c>
      <c r="E90" s="231"/>
      <c r="H90" s="61"/>
    </row>
    <row r="91" spans="1:17">
      <c r="B91" s="52"/>
      <c r="E91" s="231"/>
      <c r="H91" s="61"/>
    </row>
    <row r="92" spans="1:17">
      <c r="B92" s="52" t="s">
        <v>20</v>
      </c>
      <c r="C92" s="214">
        <f>C49*0.8</f>
        <v>2.4000000000000004</v>
      </c>
      <c r="E92" s="232"/>
      <c r="F92" s="81"/>
      <c r="G92" s="213"/>
      <c r="H92" s="81"/>
      <c r="J92" s="36"/>
    </row>
    <row r="93" spans="1:17">
      <c r="B93" s="52"/>
      <c r="E93" s="231"/>
      <c r="H93" s="41"/>
      <c r="J93" s="36"/>
    </row>
    <row r="94" spans="1:17">
      <c r="B94" s="52"/>
      <c r="C94" s="207" t="s">
        <v>170</v>
      </c>
      <c r="D94" s="203"/>
      <c r="E94" s="235" t="s">
        <v>171</v>
      </c>
      <c r="F94" s="203"/>
      <c r="G94" s="208" t="s">
        <v>164</v>
      </c>
      <c r="H94" s="61"/>
    </row>
    <row r="95" spans="1:17" ht="65.25">
      <c r="A95" s="43" t="s">
        <v>36</v>
      </c>
      <c r="B95" s="52" t="s">
        <v>88</v>
      </c>
      <c r="E95" s="231"/>
      <c r="H95" s="61"/>
    </row>
    <row r="96" spans="1:17">
      <c r="B96" s="52"/>
      <c r="E96" s="231"/>
      <c r="H96" s="61"/>
    </row>
    <row r="97" spans="1:17" ht="25.5">
      <c r="B97" s="52" t="s">
        <v>141</v>
      </c>
      <c r="E97" s="231"/>
      <c r="H97" s="61"/>
    </row>
    <row r="98" spans="1:17">
      <c r="B98" s="52" t="s">
        <v>20</v>
      </c>
      <c r="C98" s="214">
        <f>499.48*0.8</f>
        <v>399.58400000000006</v>
      </c>
      <c r="E98" s="230"/>
      <c r="F98" s="81"/>
      <c r="G98" s="213"/>
      <c r="H98" s="81"/>
    </row>
    <row r="99" spans="1:17">
      <c r="B99" s="52"/>
      <c r="E99" s="231"/>
      <c r="H99" s="41"/>
      <c r="J99" s="36"/>
    </row>
    <row r="100" spans="1:17">
      <c r="B100" s="52" t="s">
        <v>142</v>
      </c>
      <c r="E100" s="231"/>
      <c r="H100" s="61"/>
    </row>
    <row r="101" spans="1:17">
      <c r="B101" s="52" t="s">
        <v>20</v>
      </c>
      <c r="C101" s="214">
        <f>499.48*0.2</f>
        <v>99.896000000000015</v>
      </c>
      <c r="E101" s="232"/>
      <c r="F101" s="81"/>
      <c r="G101" s="213"/>
      <c r="H101" s="81"/>
    </row>
    <row r="102" spans="1:17">
      <c r="B102" s="52"/>
      <c r="E102" s="231"/>
      <c r="H102" s="61"/>
    </row>
    <row r="103" spans="1:17" ht="65.25">
      <c r="A103" s="43" t="s">
        <v>37</v>
      </c>
      <c r="B103" s="52" t="s">
        <v>89</v>
      </c>
      <c r="E103" s="231"/>
      <c r="H103" s="61"/>
    </row>
    <row r="104" spans="1:17">
      <c r="B104" s="52"/>
      <c r="E104" s="231"/>
      <c r="H104" s="61"/>
    </row>
    <row r="105" spans="1:17" ht="25.5">
      <c r="B105" s="52" t="s">
        <v>141</v>
      </c>
      <c r="E105" s="231"/>
      <c r="H105" s="61"/>
    </row>
    <row r="106" spans="1:17">
      <c r="B106" s="52" t="s">
        <v>20</v>
      </c>
      <c r="C106" s="214">
        <f>67.01*0.8</f>
        <v>53.608000000000004</v>
      </c>
      <c r="E106" s="238"/>
      <c r="F106" s="81"/>
      <c r="G106" s="213"/>
      <c r="H106" s="81"/>
    </row>
    <row r="107" spans="1:17">
      <c r="B107" s="52"/>
      <c r="E107" s="231"/>
      <c r="H107" s="41"/>
      <c r="J107" s="36"/>
    </row>
    <row r="108" spans="1:17">
      <c r="B108" s="52" t="s">
        <v>142</v>
      </c>
      <c r="E108" s="231"/>
      <c r="H108" s="61"/>
    </row>
    <row r="109" spans="1:17">
      <c r="B109" s="52" t="s">
        <v>20</v>
      </c>
      <c r="C109" s="214">
        <f>67.01*0.2</f>
        <v>13.402000000000001</v>
      </c>
      <c r="E109" s="230"/>
      <c r="F109" s="81"/>
      <c r="G109" s="213"/>
      <c r="H109" s="81"/>
    </row>
    <row r="110" spans="1:17" s="68" customFormat="1">
      <c r="A110" s="69"/>
      <c r="B110" s="70"/>
      <c r="C110" s="66"/>
      <c r="D110" s="66"/>
      <c r="E110" s="231"/>
      <c r="F110" s="66"/>
      <c r="G110" s="97"/>
      <c r="H110" s="67"/>
      <c r="Q110" s="88"/>
    </row>
    <row r="111" spans="1:17" s="64" customFormat="1" ht="42" customHeight="1">
      <c r="A111" s="43" t="s">
        <v>45</v>
      </c>
      <c r="B111" s="52" t="s">
        <v>38</v>
      </c>
      <c r="C111" s="41"/>
      <c r="D111" s="41"/>
      <c r="E111" s="231"/>
      <c r="F111" s="41"/>
      <c r="G111" s="97"/>
      <c r="H111" s="61"/>
      <c r="I111" s="62"/>
      <c r="J111" s="63"/>
      <c r="M111" s="65"/>
      <c r="N111" s="65"/>
      <c r="O111" s="65"/>
      <c r="Q111" s="82"/>
    </row>
    <row r="112" spans="1:17">
      <c r="B112" s="52"/>
      <c r="C112" s="59"/>
      <c r="D112" s="59"/>
      <c r="E112" s="231"/>
      <c r="F112" s="59"/>
      <c r="G112" s="104"/>
      <c r="H112" s="64"/>
      <c r="Q112" s="87"/>
    </row>
    <row r="113" spans="1:17">
      <c r="B113" s="52" t="s">
        <v>25</v>
      </c>
      <c r="C113" s="214">
        <f>C41*0.75</f>
        <v>117.75</v>
      </c>
      <c r="E113" s="232"/>
      <c r="G113" s="213"/>
      <c r="H113" s="41"/>
    </row>
    <row r="114" spans="1:17">
      <c r="B114" s="52"/>
      <c r="E114" s="231"/>
      <c r="H114" s="61"/>
    </row>
    <row r="115" spans="1:17" s="64" customFormat="1" ht="140.25">
      <c r="A115" s="43" t="s">
        <v>46</v>
      </c>
      <c r="B115" s="52" t="s">
        <v>90</v>
      </c>
      <c r="C115" s="41"/>
      <c r="D115" s="41"/>
      <c r="E115" s="231"/>
      <c r="F115" s="41"/>
      <c r="G115" s="97"/>
      <c r="H115" s="61"/>
      <c r="I115" s="62"/>
      <c r="J115" s="63"/>
      <c r="M115" s="65"/>
      <c r="N115" s="65"/>
      <c r="O115" s="65"/>
      <c r="Q115" s="82"/>
    </row>
    <row r="116" spans="1:17">
      <c r="A116" s="71"/>
      <c r="B116" s="52"/>
      <c r="C116" s="59"/>
      <c r="D116" s="59"/>
      <c r="E116" s="231"/>
      <c r="F116" s="59"/>
      <c r="G116" s="104"/>
      <c r="H116" s="64"/>
      <c r="Q116" s="87"/>
    </row>
    <row r="117" spans="1:17">
      <c r="B117" s="52" t="s">
        <v>20</v>
      </c>
      <c r="C117" s="214">
        <v>22.6</v>
      </c>
      <c r="E117" s="232"/>
      <c r="G117" s="213"/>
      <c r="H117" s="41"/>
    </row>
    <row r="118" spans="1:17">
      <c r="B118" s="52"/>
      <c r="C118" s="207" t="s">
        <v>170</v>
      </c>
      <c r="D118" s="203"/>
      <c r="E118" s="235" t="s">
        <v>171</v>
      </c>
      <c r="F118" s="203"/>
      <c r="G118" s="208" t="s">
        <v>164</v>
      </c>
      <c r="H118" s="61"/>
    </row>
    <row r="119" spans="1:17" s="64" customFormat="1" ht="114.75">
      <c r="A119" s="43" t="s">
        <v>47</v>
      </c>
      <c r="B119" s="52" t="s">
        <v>132</v>
      </c>
      <c r="C119" s="41"/>
      <c r="D119" s="41"/>
      <c r="E119" s="231"/>
      <c r="F119" s="41"/>
      <c r="G119" s="97"/>
      <c r="H119" s="61"/>
      <c r="I119" s="62"/>
      <c r="J119" s="63"/>
      <c r="M119" s="65"/>
      <c r="N119" s="65"/>
      <c r="O119" s="65"/>
      <c r="Q119" s="82"/>
    </row>
    <row r="120" spans="1:17">
      <c r="A120" s="71"/>
      <c r="B120" s="52"/>
      <c r="C120" s="59"/>
      <c r="D120" s="59"/>
      <c r="E120" s="231"/>
      <c r="F120" s="59"/>
      <c r="G120" s="104"/>
      <c r="H120" s="64"/>
      <c r="Q120" s="87"/>
    </row>
    <row r="121" spans="1:17">
      <c r="B121" s="52" t="s">
        <v>20</v>
      </c>
      <c r="C121" s="214">
        <v>77.55</v>
      </c>
      <c r="E121" s="232"/>
      <c r="G121" s="213"/>
      <c r="H121" s="41"/>
    </row>
    <row r="122" spans="1:17">
      <c r="B122" s="52"/>
      <c r="E122" s="231"/>
      <c r="H122" s="61"/>
    </row>
    <row r="123" spans="1:17" ht="89.25">
      <c r="A123" s="43" t="s">
        <v>48</v>
      </c>
      <c r="B123" s="52" t="s">
        <v>91</v>
      </c>
      <c r="E123" s="231"/>
      <c r="H123" s="61"/>
    </row>
    <row r="124" spans="1:17">
      <c r="A124" s="71"/>
      <c r="B124" s="52"/>
      <c r="E124" s="231"/>
      <c r="H124" s="61"/>
    </row>
    <row r="125" spans="1:17">
      <c r="B125" s="52" t="s">
        <v>20</v>
      </c>
      <c r="C125" s="214">
        <f>385.1*1</f>
        <v>385.1</v>
      </c>
      <c r="E125" s="232"/>
      <c r="G125" s="213"/>
      <c r="H125" s="41"/>
    </row>
    <row r="126" spans="1:17">
      <c r="B126" s="52"/>
      <c r="E126" s="231"/>
      <c r="H126" s="61"/>
      <c r="I126" s="38"/>
      <c r="J126" s="38"/>
      <c r="M126" s="38"/>
      <c r="N126" s="38"/>
      <c r="O126" s="38"/>
    </row>
    <row r="127" spans="1:17" ht="114.75">
      <c r="A127" s="43" t="s">
        <v>50</v>
      </c>
      <c r="B127" s="52" t="s">
        <v>177</v>
      </c>
      <c r="E127" s="231"/>
      <c r="H127" s="61"/>
      <c r="K127" s="52"/>
    </row>
    <row r="128" spans="1:17">
      <c r="A128" s="71"/>
      <c r="B128" s="52"/>
      <c r="E128" s="231"/>
      <c r="H128" s="61"/>
    </row>
    <row r="129" spans="1:8">
      <c r="B129" s="52" t="s">
        <v>20</v>
      </c>
      <c r="C129" s="214">
        <v>72.7</v>
      </c>
      <c r="E129" s="232"/>
      <c r="G129" s="213"/>
      <c r="H129" s="41"/>
    </row>
    <row r="130" spans="1:8">
      <c r="B130" s="52"/>
      <c r="C130" s="207" t="s">
        <v>170</v>
      </c>
      <c r="D130" s="203"/>
      <c r="E130" s="235" t="s">
        <v>171</v>
      </c>
      <c r="F130" s="203"/>
      <c r="G130" s="208" t="s">
        <v>164</v>
      </c>
      <c r="H130" s="61"/>
    </row>
    <row r="131" spans="1:8" ht="330" customHeight="1">
      <c r="A131" s="43" t="s">
        <v>51</v>
      </c>
      <c r="B131" s="16" t="s">
        <v>168</v>
      </c>
      <c r="E131" s="231"/>
      <c r="H131" s="61"/>
    </row>
    <row r="132" spans="1:8">
      <c r="A132" s="71"/>
      <c r="B132" s="72"/>
      <c r="E132" s="231"/>
      <c r="H132" s="61"/>
    </row>
    <row r="133" spans="1:8">
      <c r="B133" s="52" t="s">
        <v>25</v>
      </c>
      <c r="C133" s="214">
        <f>C88</f>
        <v>380.00000000000006</v>
      </c>
      <c r="E133" s="230"/>
      <c r="G133" s="213"/>
      <c r="H133" s="41"/>
    </row>
    <row r="134" spans="1:8">
      <c r="B134" s="52"/>
      <c r="E134" s="231"/>
      <c r="H134" s="41"/>
    </row>
    <row r="135" spans="1:8" ht="55.7" customHeight="1">
      <c r="A135" s="43" t="s">
        <v>67</v>
      </c>
      <c r="B135" s="16" t="s">
        <v>249</v>
      </c>
      <c r="E135" s="231"/>
      <c r="H135" s="61"/>
    </row>
    <row r="136" spans="1:8">
      <c r="A136" s="71"/>
      <c r="B136" s="72"/>
      <c r="E136" s="231"/>
      <c r="H136" s="61"/>
    </row>
    <row r="137" spans="1:8">
      <c r="B137" s="52" t="s">
        <v>25</v>
      </c>
      <c r="C137" s="214">
        <v>197</v>
      </c>
      <c r="E137" s="232"/>
      <c r="G137" s="213"/>
      <c r="H137" s="41"/>
    </row>
    <row r="138" spans="1:8">
      <c r="B138" s="52"/>
      <c r="E138" s="231"/>
      <c r="H138" s="61"/>
    </row>
    <row r="139" spans="1:8" ht="116.25">
      <c r="A139" s="43" t="s">
        <v>57</v>
      </c>
      <c r="B139" s="52" t="s">
        <v>96</v>
      </c>
      <c r="E139" s="231"/>
      <c r="H139" s="61"/>
    </row>
    <row r="140" spans="1:8">
      <c r="B140" s="52"/>
      <c r="E140" s="231"/>
      <c r="H140" s="61"/>
    </row>
    <row r="141" spans="1:8">
      <c r="B141" s="52" t="s">
        <v>20</v>
      </c>
      <c r="C141" s="214">
        <f>(566.5)*1.3</f>
        <v>736.45</v>
      </c>
      <c r="E141" s="232"/>
      <c r="G141" s="213"/>
      <c r="H141" s="41"/>
    </row>
    <row r="142" spans="1:8">
      <c r="B142" s="52"/>
      <c r="E142" s="231"/>
      <c r="H142" s="61"/>
    </row>
    <row r="143" spans="1:8">
      <c r="B143" s="52"/>
      <c r="C143" s="207" t="s">
        <v>170</v>
      </c>
      <c r="D143" s="203"/>
      <c r="E143" s="235" t="s">
        <v>171</v>
      </c>
      <c r="F143" s="203"/>
      <c r="G143" s="208" t="s">
        <v>164</v>
      </c>
      <c r="H143" s="61"/>
    </row>
    <row r="144" spans="1:8" ht="51">
      <c r="A144" s="43" t="s">
        <v>64</v>
      </c>
      <c r="B144" s="52" t="s">
        <v>97</v>
      </c>
      <c r="E144" s="231"/>
      <c r="H144" s="61"/>
    </row>
    <row r="145" spans="1:17">
      <c r="B145" s="52"/>
      <c r="E145" s="231"/>
      <c r="H145" s="61"/>
    </row>
    <row r="146" spans="1:17">
      <c r="B146" s="52" t="s">
        <v>41</v>
      </c>
      <c r="C146" s="214">
        <v>3</v>
      </c>
      <c r="E146" s="232"/>
      <c r="G146" s="213"/>
      <c r="H146" s="41"/>
    </row>
    <row r="147" spans="1:17">
      <c r="B147" s="52"/>
      <c r="E147" s="231"/>
      <c r="H147" s="61"/>
    </row>
    <row r="148" spans="1:17" s="64" customFormat="1" ht="63.75">
      <c r="A148" s="43" t="s">
        <v>65</v>
      </c>
      <c r="B148" s="52" t="s">
        <v>7</v>
      </c>
      <c r="C148" s="41"/>
      <c r="D148" s="41"/>
      <c r="E148" s="231"/>
      <c r="F148" s="41"/>
      <c r="G148" s="97"/>
      <c r="H148" s="61"/>
      <c r="I148" s="62"/>
      <c r="J148" s="63"/>
      <c r="M148" s="65"/>
      <c r="N148" s="65"/>
      <c r="O148" s="65"/>
      <c r="Q148" s="82"/>
    </row>
    <row r="149" spans="1:17">
      <c r="B149" s="52"/>
      <c r="C149" s="59"/>
      <c r="D149" s="59"/>
      <c r="E149" s="233"/>
      <c r="F149" s="59"/>
      <c r="G149" s="104"/>
      <c r="H149" s="64"/>
      <c r="Q149" s="87"/>
    </row>
    <row r="150" spans="1:17">
      <c r="B150" s="52" t="s">
        <v>39</v>
      </c>
      <c r="E150" s="231"/>
      <c r="G150" s="213"/>
      <c r="H150" s="41"/>
    </row>
    <row r="151" spans="1:17">
      <c r="B151" s="52"/>
      <c r="E151" s="231"/>
      <c r="H151" s="61"/>
    </row>
    <row r="152" spans="1:17" s="7" customFormat="1">
      <c r="A152" s="43"/>
      <c r="B152" s="60" t="s">
        <v>21</v>
      </c>
      <c r="C152" s="56"/>
      <c r="D152" s="56"/>
      <c r="E152" s="239"/>
      <c r="F152" s="56"/>
      <c r="G152" s="209"/>
      <c r="H152" s="49"/>
      <c r="I152" s="26"/>
      <c r="J152" s="22"/>
      <c r="M152" s="30"/>
      <c r="N152" s="30"/>
      <c r="O152" s="30"/>
      <c r="Q152" s="86"/>
    </row>
    <row r="153" spans="1:17" ht="15.95" customHeight="1">
      <c r="A153" s="47"/>
      <c r="B153" s="9"/>
      <c r="C153" s="56"/>
      <c r="D153" s="56"/>
      <c r="E153" s="239"/>
      <c r="F153" s="56"/>
      <c r="G153" s="100"/>
      <c r="Q153" s="86"/>
    </row>
    <row r="154" spans="1:17">
      <c r="A154" s="11" t="s">
        <v>42</v>
      </c>
      <c r="B154" s="9" t="s">
        <v>18</v>
      </c>
      <c r="C154" s="46"/>
      <c r="D154" s="7"/>
      <c r="E154" s="237"/>
      <c r="F154" s="7"/>
      <c r="G154" s="99"/>
      <c r="H154" s="7"/>
      <c r="Q154" s="91"/>
    </row>
    <row r="155" spans="1:17">
      <c r="A155" s="11"/>
      <c r="B155" s="9"/>
      <c r="C155" s="46"/>
      <c r="D155" s="7"/>
      <c r="E155" s="237"/>
      <c r="F155" s="7"/>
      <c r="G155" s="99"/>
      <c r="H155" s="7"/>
      <c r="Q155" s="91"/>
    </row>
    <row r="156" spans="1:17" ht="43.5" customHeight="1">
      <c r="A156" s="43" t="s">
        <v>112</v>
      </c>
      <c r="B156" s="73" t="s">
        <v>98</v>
      </c>
      <c r="E156" s="231"/>
      <c r="H156" s="61"/>
    </row>
    <row r="157" spans="1:17">
      <c r="B157" s="52"/>
      <c r="E157" s="231"/>
      <c r="H157" s="61"/>
    </row>
    <row r="158" spans="1:17">
      <c r="B158" s="52" t="s">
        <v>22</v>
      </c>
      <c r="C158" s="214">
        <v>157</v>
      </c>
      <c r="E158" s="232"/>
      <c r="G158" s="213"/>
      <c r="H158" s="41"/>
    </row>
    <row r="159" spans="1:17">
      <c r="B159" s="52"/>
      <c r="C159" s="120"/>
      <c r="E159" s="231"/>
      <c r="H159" s="41"/>
    </row>
    <row r="160" spans="1:17" ht="76.5">
      <c r="A160" s="43" t="s">
        <v>78</v>
      </c>
      <c r="B160" s="73" t="s">
        <v>99</v>
      </c>
      <c r="E160" s="231"/>
      <c r="H160" s="61"/>
    </row>
    <row r="161" spans="1:17">
      <c r="B161" s="52"/>
      <c r="E161" s="231"/>
      <c r="H161" s="61"/>
    </row>
    <row r="162" spans="1:17">
      <c r="B162" s="52" t="s">
        <v>22</v>
      </c>
      <c r="C162" s="214">
        <v>157</v>
      </c>
      <c r="E162" s="230"/>
      <c r="G162" s="213"/>
      <c r="H162" s="41"/>
    </row>
    <row r="163" spans="1:17" s="79" customFormat="1">
      <c r="A163" s="43"/>
      <c r="B163" s="52"/>
      <c r="C163" s="124"/>
      <c r="D163" s="41"/>
      <c r="E163" s="231"/>
      <c r="F163" s="41"/>
      <c r="G163" s="97"/>
      <c r="H163" s="41"/>
      <c r="Q163" s="95"/>
    </row>
    <row r="164" spans="1:17" s="79" customFormat="1" ht="102">
      <c r="A164" s="43" t="s">
        <v>101</v>
      </c>
      <c r="B164" s="10" t="s">
        <v>195</v>
      </c>
      <c r="C164" s="41"/>
      <c r="D164" s="41"/>
      <c r="E164" s="231"/>
      <c r="F164" s="41"/>
      <c r="G164" s="97"/>
      <c r="H164" s="125"/>
      <c r="K164" s="10"/>
      <c r="Q164" s="82"/>
    </row>
    <row r="165" spans="1:17" s="79" customFormat="1">
      <c r="A165" s="43"/>
      <c r="B165" s="10"/>
      <c r="C165" s="41"/>
      <c r="D165" s="41"/>
      <c r="E165" s="231"/>
      <c r="F165" s="41"/>
      <c r="G165" s="97"/>
      <c r="H165" s="125"/>
      <c r="K165" s="10"/>
      <c r="Q165" s="82"/>
    </row>
    <row r="166" spans="1:17" s="79" customFormat="1">
      <c r="A166" s="43"/>
      <c r="B166" s="52" t="s">
        <v>117</v>
      </c>
      <c r="C166" s="216">
        <v>5</v>
      </c>
      <c r="D166" s="41"/>
      <c r="E166" s="232"/>
      <c r="F166" s="41"/>
      <c r="G166" s="213"/>
      <c r="H166" s="41"/>
      <c r="Q166" s="95"/>
    </row>
    <row r="167" spans="1:17" s="79" customFormat="1">
      <c r="A167" s="43"/>
      <c r="B167" s="52" t="s">
        <v>118</v>
      </c>
      <c r="C167" s="216">
        <v>1</v>
      </c>
      <c r="D167" s="41"/>
      <c r="E167" s="232"/>
      <c r="F167" s="41"/>
      <c r="G167" s="213"/>
      <c r="H167" s="41"/>
      <c r="Q167" s="95"/>
    </row>
    <row r="168" spans="1:17" s="79" customFormat="1">
      <c r="A168" s="43"/>
      <c r="B168" s="52" t="s">
        <v>119</v>
      </c>
      <c r="C168" s="216">
        <v>1</v>
      </c>
      <c r="D168" s="41"/>
      <c r="E168" s="232"/>
      <c r="F168" s="41"/>
      <c r="G168" s="213"/>
      <c r="H168" s="41"/>
      <c r="Q168" s="95"/>
    </row>
    <row r="169" spans="1:17" s="79" customFormat="1">
      <c r="A169" s="43"/>
      <c r="B169" s="52"/>
      <c r="C169" s="124"/>
      <c r="D169" s="41"/>
      <c r="E169" s="231"/>
      <c r="F169" s="41"/>
      <c r="G169" s="97"/>
      <c r="H169" s="41"/>
      <c r="Q169" s="95"/>
    </row>
    <row r="170" spans="1:17" s="79" customFormat="1">
      <c r="A170" s="43"/>
      <c r="B170" s="52"/>
      <c r="C170" s="207" t="s">
        <v>170</v>
      </c>
      <c r="D170" s="203"/>
      <c r="E170" s="235" t="s">
        <v>171</v>
      </c>
      <c r="F170" s="203"/>
      <c r="G170" s="208" t="s">
        <v>164</v>
      </c>
      <c r="H170" s="41"/>
      <c r="Q170" s="95"/>
    </row>
    <row r="171" spans="1:17" s="79" customFormat="1" ht="165.75">
      <c r="A171" s="43" t="s">
        <v>79</v>
      </c>
      <c r="B171" s="10" t="s">
        <v>194</v>
      </c>
      <c r="C171" s="41"/>
      <c r="D171" s="41"/>
      <c r="E171" s="231"/>
      <c r="F171" s="41"/>
      <c r="G171" s="97"/>
      <c r="H171" s="125"/>
      <c r="K171" s="10"/>
      <c r="Q171" s="82"/>
    </row>
    <row r="172" spans="1:17" s="79" customFormat="1">
      <c r="A172" s="43"/>
      <c r="B172" s="52"/>
      <c r="C172" s="41"/>
      <c r="D172" s="41"/>
      <c r="E172" s="231"/>
      <c r="F172" s="41"/>
      <c r="G172" s="97"/>
      <c r="H172" s="125"/>
      <c r="Q172" s="82"/>
    </row>
    <row r="173" spans="1:17" s="79" customFormat="1">
      <c r="A173" s="43"/>
      <c r="B173" s="52" t="s">
        <v>117</v>
      </c>
      <c r="C173" s="216">
        <f>C166</f>
        <v>5</v>
      </c>
      <c r="D173" s="41"/>
      <c r="E173" s="232"/>
      <c r="F173" s="41"/>
      <c r="G173" s="213"/>
      <c r="H173" s="41"/>
      <c r="Q173" s="95"/>
    </row>
    <row r="174" spans="1:17" s="79" customFormat="1">
      <c r="A174" s="43"/>
      <c r="B174" s="52" t="s">
        <v>118</v>
      </c>
      <c r="C174" s="124">
        <f>C167</f>
        <v>1</v>
      </c>
      <c r="D174" s="41"/>
      <c r="E174" s="232"/>
      <c r="F174" s="41"/>
      <c r="G174" s="213"/>
      <c r="H174" s="41"/>
      <c r="Q174" s="95"/>
    </row>
    <row r="175" spans="1:17" s="79" customFormat="1">
      <c r="A175" s="43"/>
      <c r="B175" s="52" t="s">
        <v>119</v>
      </c>
      <c r="C175" s="124">
        <f>C168</f>
        <v>1</v>
      </c>
      <c r="D175" s="41"/>
      <c r="E175" s="232"/>
      <c r="F175" s="41"/>
      <c r="G175" s="213"/>
      <c r="H175" s="41"/>
      <c r="Q175" s="95"/>
    </row>
    <row r="176" spans="1:17" s="79" customFormat="1">
      <c r="A176" s="43"/>
      <c r="B176" s="52"/>
      <c r="C176" s="124"/>
      <c r="D176" s="41"/>
      <c r="E176" s="231"/>
      <c r="F176" s="41"/>
      <c r="G176" s="97"/>
      <c r="H176" s="41"/>
      <c r="Q176" s="95"/>
    </row>
    <row r="177" spans="1:17" s="79" customFormat="1" ht="102">
      <c r="A177" s="43" t="s">
        <v>125</v>
      </c>
      <c r="B177" s="10" t="s">
        <v>196</v>
      </c>
      <c r="C177" s="41"/>
      <c r="D177" s="41"/>
      <c r="E177" s="231"/>
      <c r="F177" s="41"/>
      <c r="G177" s="97"/>
      <c r="H177" s="125"/>
      <c r="K177" s="10"/>
      <c r="Q177" s="82"/>
    </row>
    <row r="178" spans="1:17" s="79" customFormat="1">
      <c r="A178" s="43"/>
      <c r="B178" s="10"/>
      <c r="C178" s="41"/>
      <c r="D178" s="41"/>
      <c r="E178" s="231"/>
      <c r="F178" s="41"/>
      <c r="G178" s="97"/>
      <c r="H178" s="125"/>
      <c r="K178" s="10"/>
      <c r="Q178" s="82"/>
    </row>
    <row r="179" spans="1:17" s="79" customFormat="1">
      <c r="A179" s="43"/>
      <c r="B179" s="52" t="s">
        <v>120</v>
      </c>
      <c r="C179" s="216">
        <v>1</v>
      </c>
      <c r="D179" s="41"/>
      <c r="E179" s="232"/>
      <c r="F179" s="41"/>
      <c r="G179" s="213"/>
      <c r="H179" s="41"/>
      <c r="Q179" s="95"/>
    </row>
    <row r="180" spans="1:17" s="79" customFormat="1">
      <c r="A180" s="43"/>
      <c r="B180" s="52"/>
      <c r="C180" s="124"/>
      <c r="D180" s="41"/>
      <c r="E180" s="231"/>
      <c r="F180" s="41"/>
      <c r="G180" s="97"/>
      <c r="H180" s="41"/>
      <c r="Q180" s="95"/>
    </row>
    <row r="181" spans="1:17" s="79" customFormat="1" ht="165.75">
      <c r="A181" s="43" t="s">
        <v>126</v>
      </c>
      <c r="B181" s="10" t="s">
        <v>197</v>
      </c>
      <c r="C181" s="41"/>
      <c r="D181" s="41"/>
      <c r="E181" s="231"/>
      <c r="F181" s="41"/>
      <c r="G181" s="97"/>
      <c r="H181" s="125"/>
      <c r="K181" s="10"/>
      <c r="Q181" s="82"/>
    </row>
    <row r="182" spans="1:17" s="79" customFormat="1">
      <c r="A182" s="43"/>
      <c r="B182" s="52"/>
      <c r="C182" s="41"/>
      <c r="D182" s="41"/>
      <c r="E182" s="231"/>
      <c r="F182" s="41"/>
      <c r="G182" s="97"/>
      <c r="H182" s="125"/>
      <c r="Q182" s="82"/>
    </row>
    <row r="183" spans="1:17" s="79" customFormat="1">
      <c r="A183" s="43"/>
      <c r="B183" s="52" t="s">
        <v>120</v>
      </c>
      <c r="C183" s="124">
        <f>C179</f>
        <v>1</v>
      </c>
      <c r="D183" s="41"/>
      <c r="E183" s="232"/>
      <c r="F183" s="41"/>
      <c r="G183" s="213"/>
      <c r="H183" s="41"/>
      <c r="Q183" s="95"/>
    </row>
    <row r="184" spans="1:17" s="79" customFormat="1">
      <c r="A184" s="43"/>
      <c r="B184" s="52"/>
      <c r="C184" s="124"/>
      <c r="D184" s="41"/>
      <c r="E184" s="231"/>
      <c r="F184" s="41"/>
      <c r="G184" s="97"/>
      <c r="H184" s="41"/>
      <c r="Q184" s="95"/>
    </row>
    <row r="185" spans="1:17" s="79" customFormat="1" ht="114.75">
      <c r="A185" s="43" t="s">
        <v>113</v>
      </c>
      <c r="B185" s="10" t="s">
        <v>204</v>
      </c>
      <c r="C185" s="41"/>
      <c r="D185" s="41"/>
      <c r="E185" s="231"/>
      <c r="F185" s="41"/>
      <c r="G185" s="97"/>
      <c r="H185" s="125"/>
      <c r="K185" s="10"/>
      <c r="Q185" s="82"/>
    </row>
    <row r="186" spans="1:17" s="79" customFormat="1">
      <c r="A186" s="43"/>
      <c r="B186" s="10"/>
      <c r="C186" s="41"/>
      <c r="D186" s="41"/>
      <c r="E186" s="231"/>
      <c r="F186" s="41"/>
      <c r="G186" s="97"/>
      <c r="H186" s="125"/>
      <c r="K186" s="10"/>
      <c r="Q186" s="82"/>
    </row>
    <row r="187" spans="1:17" s="79" customFormat="1">
      <c r="A187" s="43"/>
      <c r="B187" s="52" t="s">
        <v>119</v>
      </c>
      <c r="C187" s="216">
        <v>1</v>
      </c>
      <c r="D187" s="41"/>
      <c r="E187" s="232"/>
      <c r="F187" s="41"/>
      <c r="G187" s="213"/>
      <c r="H187" s="41"/>
      <c r="Q187" s="95"/>
    </row>
    <row r="188" spans="1:17" s="79" customFormat="1">
      <c r="A188" s="43"/>
      <c r="B188" s="52"/>
      <c r="C188" s="207" t="s">
        <v>170</v>
      </c>
      <c r="D188" s="203"/>
      <c r="E188" s="235" t="s">
        <v>171</v>
      </c>
      <c r="F188" s="203"/>
      <c r="G188" s="208" t="s">
        <v>164</v>
      </c>
      <c r="H188" s="41"/>
      <c r="Q188" s="95"/>
    </row>
    <row r="189" spans="1:17" s="79" customFormat="1" ht="178.5">
      <c r="A189" s="43" t="s">
        <v>77</v>
      </c>
      <c r="B189" s="10" t="s">
        <v>205</v>
      </c>
      <c r="C189" s="41"/>
      <c r="D189" s="41"/>
      <c r="E189" s="231"/>
      <c r="F189" s="41"/>
      <c r="G189" s="97"/>
      <c r="H189" s="125"/>
      <c r="K189" s="10"/>
      <c r="Q189" s="82"/>
    </row>
    <row r="190" spans="1:17" s="79" customFormat="1">
      <c r="A190" s="43"/>
      <c r="B190" s="52"/>
      <c r="C190" s="41"/>
      <c r="D190" s="41"/>
      <c r="E190" s="231"/>
      <c r="F190" s="41"/>
      <c r="G190" s="97"/>
      <c r="H190" s="125"/>
      <c r="Q190" s="82"/>
    </row>
    <row r="191" spans="1:17" s="79" customFormat="1">
      <c r="A191" s="43"/>
      <c r="B191" s="52" t="s">
        <v>119</v>
      </c>
      <c r="C191" s="216">
        <f>C187</f>
        <v>1</v>
      </c>
      <c r="D191" s="41"/>
      <c r="E191" s="232"/>
      <c r="F191" s="41"/>
      <c r="G191" s="213"/>
      <c r="H191" s="41"/>
      <c r="Q191" s="95"/>
    </row>
    <row r="192" spans="1:17" s="79" customFormat="1">
      <c r="A192" s="43"/>
      <c r="B192" s="52"/>
      <c r="C192" s="124"/>
      <c r="D192" s="41"/>
      <c r="E192" s="231"/>
      <c r="F192" s="41"/>
      <c r="G192" s="97"/>
      <c r="H192" s="41"/>
      <c r="Q192" s="95"/>
    </row>
    <row r="193" spans="1:17" s="79" customFormat="1" ht="114.75">
      <c r="A193" s="43" t="s">
        <v>114</v>
      </c>
      <c r="B193" s="10" t="s">
        <v>198</v>
      </c>
      <c r="C193" s="41"/>
      <c r="D193" s="41"/>
      <c r="E193" s="231"/>
      <c r="F193" s="41"/>
      <c r="G193" s="97"/>
      <c r="H193" s="125"/>
      <c r="K193" s="10"/>
      <c r="Q193" s="82"/>
    </row>
    <row r="194" spans="1:17" s="79" customFormat="1">
      <c r="A194" s="43"/>
      <c r="B194" s="10"/>
      <c r="C194" s="41"/>
      <c r="D194" s="41"/>
      <c r="E194" s="231"/>
      <c r="F194" s="41"/>
      <c r="G194" s="97"/>
      <c r="H194" s="125"/>
      <c r="K194" s="10"/>
      <c r="Q194" s="82"/>
    </row>
    <row r="195" spans="1:17" s="79" customFormat="1">
      <c r="A195" s="43"/>
      <c r="B195" s="52" t="s">
        <v>119</v>
      </c>
      <c r="C195" s="216">
        <v>1</v>
      </c>
      <c r="D195" s="41"/>
      <c r="E195" s="232"/>
      <c r="F195" s="41"/>
      <c r="G195" s="213"/>
      <c r="H195" s="41"/>
      <c r="Q195" s="95"/>
    </row>
    <row r="196" spans="1:17" s="79" customFormat="1">
      <c r="A196" s="43"/>
      <c r="B196" s="52"/>
      <c r="C196" s="41"/>
      <c r="D196" s="41"/>
      <c r="E196" s="231"/>
      <c r="F196" s="41"/>
      <c r="G196" s="97"/>
      <c r="H196" s="41"/>
      <c r="Q196" s="95"/>
    </row>
    <row r="197" spans="1:17" s="79" customFormat="1" ht="178.5">
      <c r="A197" s="43" t="s">
        <v>107</v>
      </c>
      <c r="B197" s="10" t="s">
        <v>199</v>
      </c>
      <c r="C197" s="41"/>
      <c r="D197" s="41"/>
      <c r="E197" s="231"/>
      <c r="F197" s="41"/>
      <c r="G197" s="97"/>
      <c r="H197" s="125"/>
      <c r="K197" s="10"/>
      <c r="Q197" s="82"/>
    </row>
    <row r="198" spans="1:17" s="79" customFormat="1">
      <c r="A198" s="43"/>
      <c r="B198" s="52"/>
      <c r="C198" s="41"/>
      <c r="D198" s="41"/>
      <c r="E198" s="231"/>
      <c r="F198" s="41"/>
      <c r="G198" s="97"/>
      <c r="H198" s="125"/>
      <c r="Q198" s="82"/>
    </row>
    <row r="199" spans="1:17" s="79" customFormat="1">
      <c r="A199" s="43"/>
      <c r="B199" s="52" t="s">
        <v>119</v>
      </c>
      <c r="C199" s="216">
        <f>C195</f>
        <v>1</v>
      </c>
      <c r="D199" s="41"/>
      <c r="E199" s="232"/>
      <c r="F199" s="41"/>
      <c r="G199" s="213"/>
      <c r="H199" s="41"/>
      <c r="Q199" s="95"/>
    </row>
    <row r="200" spans="1:17" s="5" customFormat="1">
      <c r="A200" s="6"/>
      <c r="B200" s="10"/>
      <c r="C200" s="207" t="s">
        <v>170</v>
      </c>
      <c r="D200" s="203"/>
      <c r="E200" s="235" t="s">
        <v>171</v>
      </c>
      <c r="F200" s="203"/>
      <c r="G200" s="208" t="s">
        <v>164</v>
      </c>
      <c r="H200" s="2"/>
      <c r="Q200" s="89"/>
    </row>
    <row r="201" spans="1:17" s="5" customFormat="1" ht="191.25">
      <c r="A201" s="6" t="s">
        <v>109</v>
      </c>
      <c r="B201" s="126" t="s">
        <v>167</v>
      </c>
      <c r="C201" s="2"/>
      <c r="D201" s="2"/>
      <c r="E201" s="231"/>
      <c r="F201" s="2"/>
      <c r="G201" s="105"/>
      <c r="H201" s="15"/>
      <c r="K201" s="10"/>
      <c r="Q201" s="89"/>
    </row>
    <row r="202" spans="1:17" s="5" customFormat="1">
      <c r="A202" s="6"/>
      <c r="B202" s="10"/>
      <c r="C202" s="2"/>
      <c r="D202" s="2"/>
      <c r="E202" s="231"/>
      <c r="F202" s="2"/>
      <c r="G202" s="105"/>
      <c r="H202" s="15"/>
      <c r="Q202" s="89"/>
    </row>
    <row r="203" spans="1:17" s="5" customFormat="1">
      <c r="A203" s="6"/>
      <c r="B203" s="10" t="s">
        <v>23</v>
      </c>
      <c r="C203" s="217">
        <v>6</v>
      </c>
      <c r="D203" s="2"/>
      <c r="E203" s="232"/>
      <c r="F203" s="2"/>
      <c r="G203" s="218"/>
      <c r="H203" s="2"/>
      <c r="J203" s="122"/>
      <c r="Q203" s="89"/>
    </row>
    <row r="204" spans="1:17">
      <c r="B204" s="52"/>
      <c r="E204" s="231"/>
      <c r="H204" s="61"/>
      <c r="I204" s="38"/>
      <c r="J204" s="38"/>
      <c r="M204" s="38"/>
      <c r="N204" s="38"/>
      <c r="O204" s="38"/>
    </row>
    <row r="205" spans="1:17" ht="40.5" customHeight="1">
      <c r="A205" s="43" t="s">
        <v>1</v>
      </c>
      <c r="B205" s="52" t="s">
        <v>104</v>
      </c>
      <c r="E205" s="231"/>
      <c r="H205" s="61"/>
    </row>
    <row r="206" spans="1:17">
      <c r="B206" s="52"/>
      <c r="E206" s="231"/>
      <c r="H206" s="61"/>
    </row>
    <row r="207" spans="1:17">
      <c r="B207" s="52" t="s">
        <v>23</v>
      </c>
      <c r="C207" s="214">
        <v>10</v>
      </c>
      <c r="E207" s="232"/>
      <c r="G207" s="213"/>
      <c r="H207" s="41"/>
      <c r="Q207" s="95"/>
    </row>
    <row r="208" spans="1:17">
      <c r="B208" s="52"/>
      <c r="E208" s="231"/>
      <c r="H208" s="41"/>
      <c r="Q208" s="95"/>
    </row>
    <row r="209" spans="1:17" ht="30.75" customHeight="1">
      <c r="A209" s="43" t="s">
        <v>105</v>
      </c>
      <c r="B209" s="52" t="s">
        <v>103</v>
      </c>
      <c r="E209" s="231"/>
      <c r="H209" s="61"/>
    </row>
    <row r="210" spans="1:17">
      <c r="B210" s="52"/>
      <c r="E210" s="231"/>
      <c r="H210" s="49"/>
    </row>
    <row r="211" spans="1:17">
      <c r="B211" s="52" t="s">
        <v>22</v>
      </c>
      <c r="C211" s="214">
        <v>157</v>
      </c>
      <c r="E211" s="230"/>
      <c r="G211" s="213"/>
      <c r="H211" s="41"/>
    </row>
    <row r="212" spans="1:17">
      <c r="B212" s="52"/>
      <c r="E212" s="231"/>
      <c r="H212" s="41"/>
      <c r="Q212" s="95"/>
    </row>
    <row r="213" spans="1:17" ht="42.75" customHeight="1">
      <c r="A213" s="43" t="s">
        <v>2</v>
      </c>
      <c r="B213" s="52" t="s">
        <v>102</v>
      </c>
      <c r="E213" s="231"/>
      <c r="H213" s="61"/>
    </row>
    <row r="214" spans="1:17">
      <c r="B214" s="52"/>
      <c r="E214" s="231"/>
      <c r="H214" s="49"/>
    </row>
    <row r="215" spans="1:17">
      <c r="B215" s="52" t="s">
        <v>22</v>
      </c>
      <c r="C215" s="214">
        <v>157</v>
      </c>
      <c r="E215" s="230"/>
      <c r="G215" s="213"/>
      <c r="H215" s="41"/>
    </row>
    <row r="216" spans="1:17">
      <c r="B216" s="52"/>
      <c r="E216" s="240"/>
      <c r="H216" s="41"/>
    </row>
    <row r="217" spans="1:17" ht="22.5" customHeight="1">
      <c r="A217" s="43" t="s">
        <v>110</v>
      </c>
      <c r="B217" s="52" t="s">
        <v>106</v>
      </c>
      <c r="E217" s="231"/>
      <c r="H217" s="61"/>
    </row>
    <row r="218" spans="1:17">
      <c r="B218" s="52"/>
      <c r="E218" s="231"/>
      <c r="H218" s="49"/>
    </row>
    <row r="219" spans="1:17">
      <c r="B219" s="52" t="s">
        <v>22</v>
      </c>
      <c r="C219" s="214">
        <v>157</v>
      </c>
      <c r="E219" s="230"/>
      <c r="G219" s="213"/>
      <c r="H219" s="41"/>
    </row>
    <row r="220" spans="1:17">
      <c r="B220" s="52"/>
      <c r="H220" s="61"/>
    </row>
    <row r="221" spans="1:17" s="64" customFormat="1" ht="63.75">
      <c r="A221" s="43" t="s">
        <v>111</v>
      </c>
      <c r="B221" s="52" t="s">
        <v>9</v>
      </c>
      <c r="C221" s="41"/>
      <c r="D221" s="41"/>
      <c r="E221" s="107"/>
      <c r="F221" s="41"/>
      <c r="G221" s="97"/>
      <c r="H221" s="61"/>
      <c r="I221" s="62"/>
      <c r="J221" s="63"/>
      <c r="M221" s="65"/>
      <c r="N221" s="65"/>
      <c r="O221" s="65"/>
      <c r="Q221" s="82"/>
    </row>
    <row r="222" spans="1:17">
      <c r="B222" s="52"/>
      <c r="C222" s="59"/>
      <c r="D222" s="59"/>
      <c r="E222" s="114"/>
      <c r="F222" s="59"/>
      <c r="G222" s="104"/>
      <c r="H222" s="64"/>
      <c r="Q222" s="87"/>
    </row>
    <row r="223" spans="1:17">
      <c r="B223" s="52" t="s">
        <v>39</v>
      </c>
      <c r="G223" s="213"/>
      <c r="H223" s="41"/>
      <c r="J223" s="97"/>
      <c r="K223" s="97"/>
    </row>
    <row r="224" spans="1:17">
      <c r="B224" s="52"/>
      <c r="H224" s="61"/>
    </row>
    <row r="225" spans="2:17">
      <c r="B225" s="48" t="s">
        <v>24</v>
      </c>
      <c r="C225" s="56"/>
      <c r="D225" s="56"/>
      <c r="E225" s="112"/>
      <c r="F225" s="56"/>
      <c r="G225" s="209"/>
      <c r="Q225" s="86"/>
    </row>
    <row r="226" spans="2:17">
      <c r="H226" s="61"/>
    </row>
    <row r="227" spans="2:17">
      <c r="H227" s="61"/>
    </row>
  </sheetData>
  <sheetProtection selectLockedCells="1"/>
  <mergeCells count="2">
    <mergeCell ref="E22:G22"/>
    <mergeCell ref="E23:G23"/>
  </mergeCells>
  <conditionalFormatting sqref="G14:G17 C41:G65 C68:G92 C98:G117 C121:G129 C131:G142 C146:G166 C173:G187 C189:G199 C201:G219 C223:G225">
    <cfRule type="cellIs" dxfId="7" priority="5" stopIfTrue="1" operator="greaterThan">
      <formula>0</formula>
    </cfRule>
  </conditionalFormatting>
  <pageMargins left="1.1811023622047245" right="0.15748031496062992" top="0.59055118110236227" bottom="0.59055118110236227" header="0.39370078740157483" footer="0.39370078740157483"/>
  <pageSetup paperSize="9" orientation="portrait" useFirstPageNumber="1" r:id="rId1"/>
  <headerFooter alignWithMargins="0">
    <oddHeader>&amp;R&amp;"Arial,Navadno"&amp;9KANAL PV9</oddHeader>
    <oddFooter>&amp;C&amp;"Arial,Navadno"&amp;10&amp;P</oddFooter>
  </headerFooter>
  <rowBreaks count="9" manualBreakCount="9">
    <brk id="33" max="6" man="1"/>
    <brk id="65" max="6" man="1"/>
    <brk id="93" max="6" man="1"/>
    <brk id="117" max="6" man="1"/>
    <brk id="129" max="6" man="1"/>
    <brk id="142" max="6" man="1"/>
    <brk id="169" max="6" man="1"/>
    <brk id="187" max="6" man="1"/>
    <brk id="199"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Q181"/>
  <sheetViews>
    <sheetView view="pageBreakPreview" topLeftCell="A19" zoomScale="60" zoomScaleNormal="100" workbookViewId="0">
      <selection activeCell="E41" sqref="E41:E173"/>
    </sheetView>
  </sheetViews>
  <sheetFormatPr defaultColWidth="8.6640625" defaultRowHeight="15.75"/>
  <cols>
    <col min="1" max="1" width="6.5546875" style="43" customWidth="1"/>
    <col min="2" max="2" width="27.44140625" style="53" customWidth="1"/>
    <col min="3" max="3" width="7.44140625" style="41" customWidth="1"/>
    <col min="4" max="4" width="1.109375" style="41" customWidth="1"/>
    <col min="5" max="5" width="11.109375" style="107" customWidth="1"/>
    <col min="6" max="6" width="3.44140625" style="41" customWidth="1"/>
    <col min="7" max="7" width="14" style="97" customWidth="1"/>
    <col min="8" max="8" width="3.6640625" style="38" customWidth="1"/>
    <col min="9" max="9" width="14.88671875" style="36" customWidth="1"/>
    <col min="10" max="10" width="8.6640625" style="37" customWidth="1"/>
    <col min="11" max="11" width="25.5546875" style="38" customWidth="1"/>
    <col min="12" max="12" width="15.5546875" style="38" customWidth="1"/>
    <col min="13" max="15" width="8.6640625" style="39" customWidth="1"/>
    <col min="16" max="16" width="8.6640625" style="38" customWidth="1"/>
    <col min="17" max="17" width="11.109375" style="82" customWidth="1"/>
    <col min="18" max="16384" width="8.6640625" style="38"/>
  </cols>
  <sheetData>
    <row r="1" spans="1:17" s="79" customFormat="1" ht="15.95" customHeight="1">
      <c r="A1" s="34"/>
      <c r="B1" s="35" t="s">
        <v>11</v>
      </c>
      <c r="C1" s="1" t="s">
        <v>123</v>
      </c>
      <c r="D1" s="33"/>
      <c r="E1" s="33"/>
      <c r="F1" s="2"/>
      <c r="G1" s="96"/>
      <c r="H1" s="78"/>
      <c r="Q1" s="90"/>
    </row>
    <row r="2" spans="1:17" s="79" customFormat="1" ht="15.95" customHeight="1">
      <c r="A2" s="34"/>
      <c r="B2" s="35"/>
      <c r="C2" s="1" t="s">
        <v>124</v>
      </c>
      <c r="D2" s="33"/>
      <c r="E2" s="33"/>
      <c r="F2" s="2"/>
      <c r="G2" s="96"/>
      <c r="H2" s="78"/>
      <c r="Q2" s="90"/>
    </row>
    <row r="3" spans="1:17" s="79" customFormat="1" ht="15.95" customHeight="1">
      <c r="A3" s="34"/>
      <c r="B3" s="35" t="s">
        <v>8</v>
      </c>
      <c r="C3" s="40" t="s">
        <v>229</v>
      </c>
      <c r="D3" s="33"/>
      <c r="E3" s="106"/>
      <c r="F3" s="2"/>
      <c r="G3" s="96"/>
      <c r="H3" s="78"/>
      <c r="Q3" s="90"/>
    </row>
    <row r="4" spans="1:17" s="79" customFormat="1">
      <c r="A4" s="34"/>
      <c r="B4" s="35" t="s">
        <v>12</v>
      </c>
      <c r="C4" s="40" t="s">
        <v>207</v>
      </c>
      <c r="D4" s="41"/>
      <c r="E4" s="107"/>
      <c r="F4" s="41"/>
      <c r="G4" s="97"/>
      <c r="Q4" s="82"/>
    </row>
    <row r="5" spans="1:17" s="79" customFormat="1">
      <c r="A5" s="34"/>
      <c r="B5" s="35" t="s">
        <v>13</v>
      </c>
      <c r="C5" s="1" t="s">
        <v>172</v>
      </c>
      <c r="D5" s="33"/>
      <c r="E5" s="106"/>
      <c r="F5" s="2"/>
      <c r="G5" s="97"/>
      <c r="Q5" s="90"/>
    </row>
    <row r="6" spans="1:17">
      <c r="A6" s="34"/>
      <c r="B6" s="35"/>
      <c r="C6" s="42" t="s">
        <v>173</v>
      </c>
    </row>
    <row r="7" spans="1:17">
      <c r="A7" s="34"/>
      <c r="B7" s="35"/>
      <c r="C7" s="42"/>
    </row>
    <row r="9" spans="1:17" ht="18">
      <c r="A9" s="43" t="s">
        <v>14</v>
      </c>
      <c r="B9" s="44" t="s">
        <v>52</v>
      </c>
      <c r="C9" s="45"/>
      <c r="D9" s="45"/>
      <c r="E9" s="108"/>
      <c r="F9" s="45"/>
      <c r="G9" s="98"/>
      <c r="Q9" s="83"/>
    </row>
    <row r="10" spans="1:17">
      <c r="B10" s="45"/>
      <c r="C10" s="45"/>
      <c r="D10" s="45"/>
      <c r="E10" s="108"/>
      <c r="F10" s="45"/>
      <c r="G10" s="98"/>
      <c r="Q10" s="83"/>
    </row>
    <row r="12" spans="1:17" s="7" customFormat="1">
      <c r="A12" s="8" t="s">
        <v>15</v>
      </c>
      <c r="B12" s="9" t="s">
        <v>16</v>
      </c>
      <c r="C12" s="46"/>
      <c r="E12" s="109"/>
      <c r="G12" s="99"/>
      <c r="I12" s="26"/>
      <c r="J12" s="22"/>
      <c r="M12" s="30"/>
      <c r="N12" s="30"/>
      <c r="O12" s="30"/>
      <c r="Q12" s="91"/>
    </row>
    <row r="13" spans="1:17" s="7" customFormat="1">
      <c r="A13" s="8"/>
      <c r="B13" s="9"/>
      <c r="C13" s="46"/>
      <c r="E13" s="109"/>
      <c r="G13" s="99"/>
      <c r="I13" s="26"/>
      <c r="J13" s="22"/>
      <c r="M13" s="30"/>
      <c r="N13" s="30"/>
      <c r="O13" s="30"/>
      <c r="Q13" s="91"/>
    </row>
    <row r="14" spans="1:17" s="7" customFormat="1">
      <c r="A14" s="47" t="s">
        <v>27</v>
      </c>
      <c r="B14" s="48" t="s">
        <v>26</v>
      </c>
      <c r="C14" s="49"/>
      <c r="D14" s="49"/>
      <c r="E14" s="110"/>
      <c r="F14" s="49"/>
      <c r="G14" s="209"/>
      <c r="H14" s="80"/>
      <c r="I14" s="26"/>
      <c r="J14" s="22"/>
      <c r="K14" s="119"/>
      <c r="M14" s="30"/>
      <c r="N14" s="30"/>
      <c r="O14" s="30"/>
      <c r="Q14" s="84"/>
    </row>
    <row r="15" spans="1:17">
      <c r="A15" s="47" t="s">
        <v>32</v>
      </c>
      <c r="B15" s="48" t="s">
        <v>17</v>
      </c>
      <c r="C15" s="49"/>
      <c r="D15" s="49"/>
      <c r="E15" s="110"/>
      <c r="F15" s="49"/>
      <c r="G15" s="209"/>
      <c r="H15" s="80"/>
      <c r="K15" s="116"/>
      <c r="Q15" s="84"/>
    </row>
    <row r="16" spans="1:17">
      <c r="A16" s="47" t="s">
        <v>42</v>
      </c>
      <c r="B16" s="48" t="s">
        <v>18</v>
      </c>
      <c r="C16" s="49"/>
      <c r="D16" s="49"/>
      <c r="E16" s="110"/>
      <c r="F16" s="49"/>
      <c r="G16" s="209"/>
      <c r="H16" s="80"/>
      <c r="K16" s="116"/>
      <c r="Q16" s="84"/>
    </row>
    <row r="17" spans="1:17">
      <c r="A17" s="47"/>
      <c r="B17" s="48"/>
      <c r="C17" s="49"/>
      <c r="D17" s="49"/>
      <c r="E17" s="110"/>
      <c r="F17" s="49"/>
      <c r="G17" s="100"/>
      <c r="K17" s="116"/>
      <c r="Q17" s="84"/>
    </row>
    <row r="18" spans="1:17" ht="16.5" thickBot="1">
      <c r="A18" s="47"/>
      <c r="B18" s="50" t="s">
        <v>53</v>
      </c>
      <c r="C18" s="51"/>
      <c r="D18" s="51"/>
      <c r="E18" s="111"/>
      <c r="F18" s="51"/>
      <c r="G18" s="210"/>
      <c r="H18" s="80"/>
      <c r="K18" s="117"/>
      <c r="Q18" s="85"/>
    </row>
    <row r="22" spans="1:17" ht="15.95" customHeight="1">
      <c r="B22" s="53" t="s">
        <v>81</v>
      </c>
      <c r="E22" s="458"/>
      <c r="F22" s="458"/>
      <c r="G22" s="458"/>
    </row>
    <row r="23" spans="1:17" ht="84.75" customHeight="1">
      <c r="B23" s="53" t="s">
        <v>84</v>
      </c>
      <c r="E23" s="458"/>
      <c r="F23" s="458"/>
      <c r="G23" s="458"/>
    </row>
    <row r="25" spans="1:17">
      <c r="B25" s="53" t="s">
        <v>82</v>
      </c>
    </row>
    <row r="26" spans="1:17" ht="63.75">
      <c r="B26" s="53" t="s">
        <v>83</v>
      </c>
    </row>
    <row r="28" spans="1:17">
      <c r="K28" s="53"/>
    </row>
    <row r="29" spans="1:17">
      <c r="K29" s="53"/>
    </row>
    <row r="33" spans="1:17">
      <c r="B33" s="53" t="s">
        <v>166</v>
      </c>
    </row>
    <row r="34" spans="1:17" s="7" customFormat="1">
      <c r="A34" s="43"/>
      <c r="B34" s="53"/>
      <c r="C34" s="41"/>
      <c r="D34" s="41"/>
      <c r="E34" s="107"/>
      <c r="F34" s="41"/>
      <c r="G34" s="97"/>
      <c r="H34" s="38"/>
      <c r="I34" s="26"/>
      <c r="J34" s="22"/>
      <c r="M34" s="30"/>
      <c r="N34" s="30"/>
      <c r="O34" s="30"/>
      <c r="Q34" s="82"/>
    </row>
    <row r="35" spans="1:17">
      <c r="A35" s="11" t="s">
        <v>19</v>
      </c>
      <c r="B35" s="9" t="s">
        <v>16</v>
      </c>
      <c r="C35" s="46"/>
      <c r="D35" s="7"/>
      <c r="E35" s="109"/>
      <c r="F35" s="7"/>
      <c r="G35" s="99"/>
      <c r="H35" s="7"/>
      <c r="Q35" s="91"/>
    </row>
    <row r="36" spans="1:17" s="7" customFormat="1">
      <c r="A36" s="43"/>
      <c r="B36" s="55"/>
      <c r="C36" s="56"/>
      <c r="D36" s="56"/>
      <c r="E36" s="112"/>
      <c r="F36" s="56"/>
      <c r="G36" s="101"/>
      <c r="H36" s="38"/>
      <c r="I36" s="26"/>
      <c r="J36" s="22"/>
      <c r="M36" s="30"/>
      <c r="N36" s="30"/>
      <c r="O36" s="30"/>
      <c r="Q36" s="86"/>
    </row>
    <row r="37" spans="1:17" s="7" customFormat="1">
      <c r="A37" s="11" t="s">
        <v>27</v>
      </c>
      <c r="B37" s="9" t="s">
        <v>26</v>
      </c>
      <c r="C37" s="46"/>
      <c r="E37" s="109"/>
      <c r="G37" s="99"/>
      <c r="I37" s="26"/>
      <c r="J37" s="22"/>
      <c r="M37" s="30"/>
      <c r="N37" s="30"/>
      <c r="O37" s="30"/>
      <c r="Q37" s="91"/>
    </row>
    <row r="38" spans="1:17" s="7" customFormat="1">
      <c r="A38" s="8"/>
      <c r="B38" s="9"/>
      <c r="C38" s="207" t="s">
        <v>170</v>
      </c>
      <c r="D38" s="203"/>
      <c r="E38" s="208" t="s">
        <v>171</v>
      </c>
      <c r="F38" s="203"/>
      <c r="G38" s="208" t="s">
        <v>164</v>
      </c>
      <c r="I38" s="26"/>
      <c r="J38" s="22"/>
      <c r="M38" s="30"/>
      <c r="N38" s="30"/>
      <c r="O38" s="30"/>
      <c r="Q38" s="91"/>
    </row>
    <row r="39" spans="1:17" s="17" customFormat="1" ht="39">
      <c r="A39" s="12" t="s">
        <v>28</v>
      </c>
      <c r="B39" s="13" t="s">
        <v>139</v>
      </c>
      <c r="C39" s="46"/>
      <c r="D39" s="7"/>
      <c r="E39" s="109"/>
      <c r="F39" s="7"/>
      <c r="G39" s="99"/>
      <c r="H39" s="7"/>
      <c r="I39" s="27"/>
      <c r="J39" s="23"/>
      <c r="M39" s="31"/>
      <c r="N39" s="31"/>
      <c r="O39" s="31"/>
      <c r="Q39" s="91"/>
    </row>
    <row r="40" spans="1:17" s="7" customFormat="1">
      <c r="A40" s="18"/>
      <c r="B40" s="13"/>
      <c r="C40" s="57"/>
      <c r="D40" s="17"/>
      <c r="E40" s="113"/>
      <c r="F40" s="17"/>
      <c r="G40" s="102"/>
      <c r="H40" s="17"/>
      <c r="I40" s="26"/>
      <c r="J40" s="22"/>
      <c r="M40" s="30"/>
      <c r="N40" s="30"/>
      <c r="O40" s="30"/>
      <c r="Q40" s="92"/>
    </row>
    <row r="41" spans="1:17" s="7" customFormat="1">
      <c r="A41" s="8"/>
      <c r="B41" s="52" t="s">
        <v>22</v>
      </c>
      <c r="C41" s="214">
        <v>1.9</v>
      </c>
      <c r="D41" s="41"/>
      <c r="E41" s="230"/>
      <c r="F41" s="81"/>
      <c r="G41" s="213"/>
      <c r="H41" s="81"/>
      <c r="I41" s="26"/>
      <c r="J41" s="22"/>
      <c r="M41" s="30"/>
      <c r="N41" s="30"/>
      <c r="O41" s="30"/>
      <c r="Q41" s="82"/>
    </row>
    <row r="42" spans="1:17" s="7" customFormat="1">
      <c r="A42" s="8"/>
      <c r="B42" s="52"/>
      <c r="C42" s="41"/>
      <c r="D42" s="41"/>
      <c r="E42" s="231"/>
      <c r="F42" s="41"/>
      <c r="G42" s="97"/>
      <c r="H42" s="41"/>
      <c r="I42" s="26"/>
      <c r="J42" s="22"/>
      <c r="M42" s="30"/>
      <c r="N42" s="30"/>
      <c r="O42" s="30"/>
      <c r="Q42" s="82"/>
    </row>
    <row r="43" spans="1:17" s="19" customFormat="1" ht="57.75" customHeight="1">
      <c r="A43" s="12" t="s">
        <v>56</v>
      </c>
      <c r="B43" s="52" t="s">
        <v>68</v>
      </c>
      <c r="C43" s="41"/>
      <c r="D43" s="41"/>
      <c r="E43" s="231"/>
      <c r="F43" s="41"/>
      <c r="G43" s="97"/>
      <c r="H43" s="7"/>
      <c r="I43" s="28"/>
      <c r="J43" s="24"/>
      <c r="M43" s="32"/>
      <c r="N43" s="32"/>
      <c r="O43" s="32"/>
      <c r="Q43" s="82"/>
    </row>
    <row r="44" spans="1:17" s="7" customFormat="1">
      <c r="A44" s="20"/>
      <c r="B44" s="52"/>
      <c r="C44" s="59"/>
      <c r="D44" s="59"/>
      <c r="E44" s="231"/>
      <c r="F44" s="59"/>
      <c r="G44" s="104"/>
      <c r="H44" s="19"/>
      <c r="I44" s="26"/>
      <c r="J44" s="22"/>
      <c r="M44" s="30"/>
      <c r="N44" s="30"/>
      <c r="O44" s="30"/>
      <c r="Q44" s="87"/>
    </row>
    <row r="45" spans="1:17" s="7" customFormat="1">
      <c r="A45" s="8"/>
      <c r="B45" s="52" t="s">
        <v>23</v>
      </c>
      <c r="C45" s="214">
        <f>INT(C41/20)+1</f>
        <v>1</v>
      </c>
      <c r="D45" s="41"/>
      <c r="E45" s="232"/>
      <c r="F45" s="81"/>
      <c r="G45" s="213"/>
      <c r="H45" s="81"/>
      <c r="I45" s="26"/>
      <c r="J45" s="22"/>
      <c r="M45" s="30"/>
      <c r="N45" s="30"/>
      <c r="O45" s="30"/>
      <c r="Q45" s="82"/>
    </row>
    <row r="46" spans="1:17" s="7" customFormat="1">
      <c r="A46" s="8"/>
      <c r="B46" s="52"/>
      <c r="C46" s="41"/>
      <c r="D46" s="41"/>
      <c r="E46" s="231"/>
      <c r="F46" s="41"/>
      <c r="G46" s="97"/>
      <c r="H46" s="41"/>
      <c r="I46" s="26"/>
      <c r="J46" s="22"/>
      <c r="M46" s="30"/>
      <c r="N46" s="30"/>
      <c r="O46" s="30"/>
      <c r="Q46" s="82"/>
    </row>
    <row r="47" spans="1:17" s="7" customFormat="1" ht="38.25">
      <c r="A47" s="12" t="s">
        <v>5</v>
      </c>
      <c r="B47" s="52" t="s">
        <v>6</v>
      </c>
      <c r="C47" s="41"/>
      <c r="D47" s="41"/>
      <c r="E47" s="231"/>
      <c r="F47" s="41"/>
      <c r="G47" s="97"/>
      <c r="I47" s="26"/>
      <c r="J47" s="22"/>
      <c r="M47" s="30"/>
      <c r="N47" s="30"/>
      <c r="O47" s="30"/>
      <c r="Q47" s="82"/>
    </row>
    <row r="48" spans="1:17" s="7" customFormat="1">
      <c r="A48" s="20"/>
      <c r="B48" s="52"/>
      <c r="C48" s="59"/>
      <c r="D48" s="59"/>
      <c r="E48" s="233"/>
      <c r="F48" s="59"/>
      <c r="G48" s="104"/>
      <c r="H48" s="19"/>
      <c r="I48" s="26"/>
      <c r="J48" s="22"/>
      <c r="M48" s="30"/>
      <c r="N48" s="30"/>
      <c r="O48" s="30"/>
      <c r="Q48" s="87"/>
    </row>
    <row r="49" spans="1:17" s="7" customFormat="1">
      <c r="A49" s="8"/>
      <c r="B49" s="52" t="s">
        <v>29</v>
      </c>
      <c r="C49" s="214">
        <v>1</v>
      </c>
      <c r="D49" s="41"/>
      <c r="E49" s="232"/>
      <c r="F49" s="81"/>
      <c r="G49" s="213"/>
      <c r="H49" s="81"/>
      <c r="I49" s="26"/>
      <c r="J49" s="22"/>
      <c r="M49" s="30"/>
      <c r="N49" s="30"/>
      <c r="O49" s="30"/>
      <c r="Q49" s="82"/>
    </row>
    <row r="50" spans="1:17" s="7" customFormat="1">
      <c r="A50" s="8"/>
      <c r="B50" s="52"/>
      <c r="C50" s="41"/>
      <c r="D50" s="41"/>
      <c r="E50" s="231"/>
      <c r="F50" s="41"/>
      <c r="G50" s="97"/>
      <c r="H50" s="41"/>
      <c r="I50" s="26"/>
      <c r="J50" s="22"/>
      <c r="M50" s="30"/>
      <c r="N50" s="30"/>
      <c r="O50" s="30"/>
      <c r="Q50" s="82"/>
    </row>
    <row r="51" spans="1:17" s="19" customFormat="1" ht="48" customHeight="1">
      <c r="A51" s="12" t="s">
        <v>75</v>
      </c>
      <c r="B51" s="52" t="s">
        <v>136</v>
      </c>
      <c r="C51" s="41"/>
      <c r="D51" s="41"/>
      <c r="E51" s="231"/>
      <c r="F51" s="41"/>
      <c r="G51" s="97"/>
      <c r="H51" s="7"/>
      <c r="I51" s="28"/>
      <c r="J51" s="24"/>
      <c r="M51" s="32"/>
      <c r="N51" s="32"/>
      <c r="O51" s="32"/>
      <c r="Q51" s="82"/>
    </row>
    <row r="52" spans="1:17" s="7" customFormat="1">
      <c r="A52" s="20"/>
      <c r="B52" s="52"/>
      <c r="C52" s="59"/>
      <c r="D52" s="59"/>
      <c r="E52" s="233"/>
      <c r="F52" s="59"/>
      <c r="G52" s="104"/>
      <c r="H52" s="19"/>
      <c r="I52" s="26"/>
      <c r="J52" s="22"/>
      <c r="M52" s="30"/>
      <c r="N52" s="30"/>
      <c r="O52" s="30"/>
      <c r="Q52" s="87"/>
    </row>
    <row r="53" spans="1:17" s="7" customFormat="1">
      <c r="A53" s="8"/>
      <c r="B53" s="52" t="s">
        <v>23</v>
      </c>
      <c r="C53" s="214">
        <v>1</v>
      </c>
      <c r="D53" s="41"/>
      <c r="E53" s="232"/>
      <c r="F53" s="81"/>
      <c r="G53" s="213"/>
      <c r="H53" s="81"/>
      <c r="I53" s="26"/>
      <c r="J53" s="22"/>
      <c r="M53" s="30"/>
      <c r="N53" s="30"/>
      <c r="O53" s="30"/>
      <c r="Q53" s="82"/>
    </row>
    <row r="54" spans="1:17" s="7" customFormat="1">
      <c r="A54" s="8"/>
      <c r="B54" s="52"/>
      <c r="C54" s="41"/>
      <c r="D54" s="41"/>
      <c r="E54" s="231"/>
      <c r="F54" s="81"/>
      <c r="G54" s="97"/>
      <c r="H54" s="81"/>
      <c r="I54" s="26"/>
      <c r="J54" s="22"/>
      <c r="M54" s="30"/>
      <c r="N54" s="30"/>
      <c r="O54" s="30"/>
      <c r="Q54" s="82"/>
    </row>
    <row r="55" spans="1:17" s="19" customFormat="1" ht="34.5" customHeight="1">
      <c r="A55" s="12" t="s">
        <v>137</v>
      </c>
      <c r="B55" s="52" t="s">
        <v>138</v>
      </c>
      <c r="C55" s="41"/>
      <c r="D55" s="41"/>
      <c r="E55" s="231"/>
      <c r="F55" s="41"/>
      <c r="G55" s="97"/>
      <c r="H55" s="7"/>
      <c r="I55" s="28"/>
      <c r="J55" s="24"/>
      <c r="M55" s="32"/>
      <c r="N55" s="32"/>
      <c r="O55" s="32"/>
      <c r="Q55" s="82"/>
    </row>
    <row r="56" spans="1:17" s="7" customFormat="1">
      <c r="A56" s="20"/>
      <c r="B56" s="52"/>
      <c r="C56" s="59"/>
      <c r="D56" s="59"/>
      <c r="E56" s="233"/>
      <c r="F56" s="59"/>
      <c r="G56" s="104"/>
      <c r="H56" s="19"/>
      <c r="I56" s="26"/>
      <c r="J56" s="22"/>
      <c r="M56" s="30"/>
      <c r="N56" s="30"/>
      <c r="O56" s="30"/>
      <c r="Q56" s="87"/>
    </row>
    <row r="57" spans="1:17" s="7" customFormat="1">
      <c r="A57" s="8"/>
      <c r="B57" s="52" t="s">
        <v>71</v>
      </c>
      <c r="C57" s="214">
        <v>1.9</v>
      </c>
      <c r="D57" s="41"/>
      <c r="E57" s="232"/>
      <c r="F57" s="81"/>
      <c r="G57" s="213"/>
      <c r="H57" s="81"/>
      <c r="I57" s="26"/>
      <c r="J57" s="22"/>
      <c r="M57" s="30"/>
      <c r="N57" s="30"/>
      <c r="O57" s="30"/>
      <c r="Q57" s="82"/>
    </row>
    <row r="58" spans="1:17" s="7" customFormat="1">
      <c r="A58" s="8"/>
      <c r="B58" s="52"/>
      <c r="C58" s="207" t="s">
        <v>170</v>
      </c>
      <c r="D58" s="203"/>
      <c r="E58" s="235" t="s">
        <v>171</v>
      </c>
      <c r="F58" s="203"/>
      <c r="G58" s="208" t="s">
        <v>164</v>
      </c>
      <c r="H58" s="41"/>
      <c r="I58" s="26"/>
      <c r="J58" s="22"/>
      <c r="M58" s="30"/>
      <c r="N58" s="30"/>
      <c r="O58" s="30"/>
      <c r="Q58" s="82"/>
    </row>
    <row r="59" spans="1:17" s="7" customFormat="1" ht="86.25" customHeight="1">
      <c r="A59" s="12" t="s">
        <v>54</v>
      </c>
      <c r="B59" s="52" t="s">
        <v>230</v>
      </c>
      <c r="C59" s="41"/>
      <c r="D59" s="41"/>
      <c r="E59" s="231"/>
      <c r="F59" s="41"/>
      <c r="G59" s="97"/>
      <c r="I59" s="26"/>
      <c r="J59" s="22"/>
      <c r="M59" s="30"/>
      <c r="N59" s="30"/>
      <c r="O59" s="30"/>
      <c r="Q59" s="82"/>
    </row>
    <row r="60" spans="1:17" s="7" customFormat="1" ht="44.25" customHeight="1">
      <c r="A60" s="8"/>
      <c r="B60" s="52" t="s">
        <v>116</v>
      </c>
      <c r="C60" s="214">
        <v>1</v>
      </c>
      <c r="D60" s="41"/>
      <c r="E60" s="232"/>
      <c r="F60" s="81"/>
      <c r="G60" s="213"/>
      <c r="H60" s="81"/>
      <c r="I60" s="26"/>
      <c r="J60" s="22"/>
      <c r="M60" s="30"/>
      <c r="N60" s="30"/>
      <c r="O60" s="30"/>
      <c r="Q60" s="82"/>
    </row>
    <row r="61" spans="1:17" s="7" customFormat="1" ht="15.95" customHeight="1">
      <c r="A61" s="8"/>
      <c r="B61" s="52"/>
      <c r="C61" s="41"/>
      <c r="D61" s="41"/>
      <c r="E61" s="231"/>
      <c r="F61" s="41"/>
      <c r="G61" s="97"/>
      <c r="I61" s="26"/>
      <c r="J61" s="22"/>
      <c r="M61" s="30"/>
      <c r="N61" s="30"/>
      <c r="O61" s="30"/>
      <c r="Q61" s="82"/>
    </row>
    <row r="62" spans="1:17" s="7" customFormat="1" ht="15.95" customHeight="1">
      <c r="A62" s="12" t="s">
        <v>61</v>
      </c>
      <c r="B62" s="52" t="s">
        <v>62</v>
      </c>
      <c r="C62" s="41"/>
      <c r="D62" s="41"/>
      <c r="E62" s="231"/>
      <c r="F62" s="41"/>
      <c r="G62" s="97"/>
      <c r="I62" s="26"/>
      <c r="J62" s="22"/>
      <c r="M62" s="30"/>
      <c r="N62" s="30"/>
      <c r="O62" s="30"/>
      <c r="Q62" s="82"/>
    </row>
    <row r="63" spans="1:17" s="7" customFormat="1" ht="15.95" customHeight="1">
      <c r="A63" s="20"/>
      <c r="B63" s="52"/>
      <c r="C63" s="59"/>
      <c r="D63" s="59"/>
      <c r="E63" s="233"/>
      <c r="F63" s="59"/>
      <c r="G63" s="104"/>
      <c r="H63" s="19"/>
      <c r="I63" s="26"/>
      <c r="J63" s="22"/>
      <c r="M63" s="30"/>
      <c r="N63" s="30"/>
      <c r="O63" s="30"/>
      <c r="Q63" s="87"/>
    </row>
    <row r="64" spans="1:17" s="7" customFormat="1" ht="15.95" customHeight="1">
      <c r="A64" s="8"/>
      <c r="B64" s="52" t="s">
        <v>41</v>
      </c>
      <c r="C64" s="214">
        <v>1</v>
      </c>
      <c r="D64" s="41"/>
      <c r="E64" s="232"/>
      <c r="F64" s="81"/>
      <c r="G64" s="213"/>
      <c r="H64" s="81"/>
      <c r="I64" s="26"/>
      <c r="J64" s="22"/>
      <c r="M64" s="30"/>
      <c r="N64" s="30"/>
      <c r="O64" s="30"/>
      <c r="Q64" s="82"/>
    </row>
    <row r="65" spans="1:17" s="7" customFormat="1" ht="15.95" customHeight="1">
      <c r="A65" s="8"/>
      <c r="B65" s="52"/>
      <c r="C65" s="41"/>
      <c r="D65" s="41"/>
      <c r="E65" s="231"/>
      <c r="F65" s="41"/>
      <c r="G65" s="97"/>
      <c r="H65" s="41"/>
      <c r="I65" s="26"/>
      <c r="J65" s="22"/>
      <c r="M65" s="30"/>
      <c r="N65" s="30"/>
      <c r="O65" s="30"/>
      <c r="Q65" s="82"/>
    </row>
    <row r="66" spans="1:17" s="7" customFormat="1" ht="76.5">
      <c r="A66" s="12" t="s">
        <v>73</v>
      </c>
      <c r="B66" s="52" t="s">
        <v>135</v>
      </c>
      <c r="C66" s="41"/>
      <c r="D66" s="41"/>
      <c r="E66" s="231"/>
      <c r="F66" s="41"/>
      <c r="G66" s="97"/>
      <c r="I66" s="26"/>
      <c r="J66" s="22"/>
      <c r="M66" s="30"/>
      <c r="N66" s="30"/>
      <c r="O66" s="30"/>
      <c r="Q66" s="82"/>
    </row>
    <row r="67" spans="1:17" s="7" customFormat="1" ht="15.95" customHeight="1">
      <c r="A67" s="20"/>
      <c r="B67" s="52"/>
      <c r="C67" s="59"/>
      <c r="D67" s="59"/>
      <c r="E67" s="233"/>
      <c r="F67" s="59"/>
      <c r="G67" s="104"/>
      <c r="H67" s="19"/>
      <c r="I67" s="26"/>
      <c r="J67" s="22"/>
      <c r="M67" s="30"/>
      <c r="N67" s="30"/>
      <c r="O67" s="30"/>
      <c r="Q67" s="87"/>
    </row>
    <row r="68" spans="1:17" s="7" customFormat="1" ht="15.95" customHeight="1">
      <c r="A68" s="8"/>
      <c r="B68" s="52" t="s">
        <v>23</v>
      </c>
      <c r="C68" s="214">
        <v>1</v>
      </c>
      <c r="D68" s="41"/>
      <c r="E68" s="232"/>
      <c r="F68" s="81"/>
      <c r="G68" s="213"/>
      <c r="H68" s="81"/>
      <c r="I68" s="26"/>
      <c r="J68" s="22"/>
      <c r="M68" s="30"/>
      <c r="N68" s="30"/>
      <c r="O68" s="30"/>
      <c r="Q68" s="82"/>
    </row>
    <row r="69" spans="1:17" s="7" customFormat="1" ht="15.95" customHeight="1">
      <c r="A69" s="8"/>
      <c r="B69" s="52"/>
      <c r="C69" s="41"/>
      <c r="D69" s="41"/>
      <c r="E69" s="231"/>
      <c r="F69" s="41"/>
      <c r="G69" s="97"/>
      <c r="H69" s="41"/>
      <c r="I69" s="26"/>
      <c r="J69" s="22"/>
      <c r="M69" s="30"/>
      <c r="N69" s="30"/>
      <c r="O69" s="30"/>
      <c r="Q69" s="82"/>
    </row>
    <row r="70" spans="1:17" s="7" customFormat="1" ht="33.950000000000003" customHeight="1">
      <c r="A70" s="12" t="s">
        <v>74</v>
      </c>
      <c r="B70" s="52" t="s">
        <v>10</v>
      </c>
      <c r="C70" s="41"/>
      <c r="D70" s="41"/>
      <c r="E70" s="231"/>
      <c r="F70" s="41"/>
      <c r="G70" s="97"/>
      <c r="I70" s="26"/>
      <c r="J70" s="22"/>
      <c r="M70" s="30"/>
      <c r="N70" s="30"/>
      <c r="O70" s="30"/>
      <c r="Q70" s="82"/>
    </row>
    <row r="71" spans="1:17" s="7" customFormat="1" ht="15.95" customHeight="1">
      <c r="A71" s="20"/>
      <c r="B71" s="52"/>
      <c r="C71" s="59"/>
      <c r="D71" s="59"/>
      <c r="E71" s="233"/>
      <c r="F71" s="59"/>
      <c r="G71" s="104"/>
      <c r="H71" s="19"/>
      <c r="I71" s="26"/>
      <c r="J71" s="22"/>
      <c r="M71" s="30"/>
      <c r="N71" s="30"/>
      <c r="O71" s="30"/>
      <c r="Q71" s="87"/>
    </row>
    <row r="72" spans="1:17" s="7" customFormat="1" ht="15.95" customHeight="1">
      <c r="A72" s="8"/>
      <c r="B72" s="52" t="s">
        <v>23</v>
      </c>
      <c r="C72" s="214">
        <v>1</v>
      </c>
      <c r="D72" s="41"/>
      <c r="E72" s="232"/>
      <c r="F72" s="81"/>
      <c r="G72" s="213"/>
      <c r="H72" s="81"/>
      <c r="I72" s="26"/>
      <c r="J72" s="22"/>
      <c r="M72" s="30"/>
      <c r="N72" s="30"/>
      <c r="O72" s="30"/>
      <c r="Q72" s="82"/>
    </row>
    <row r="73" spans="1:17" s="7" customFormat="1" ht="15.95" customHeight="1">
      <c r="A73" s="8"/>
      <c r="B73" s="52"/>
      <c r="C73" s="41"/>
      <c r="D73" s="41"/>
      <c r="E73" s="231"/>
      <c r="F73" s="41"/>
      <c r="G73" s="97"/>
      <c r="I73" s="26"/>
      <c r="J73" s="22"/>
      <c r="M73" s="30"/>
      <c r="N73" s="30"/>
      <c r="O73" s="30"/>
      <c r="Q73" s="82"/>
    </row>
    <row r="74" spans="1:17" s="7" customFormat="1" ht="31.5">
      <c r="A74" s="11"/>
      <c r="B74" s="60" t="s">
        <v>43</v>
      </c>
      <c r="C74" s="49"/>
      <c r="D74" s="49"/>
      <c r="E74" s="236"/>
      <c r="F74" s="49"/>
      <c r="G74" s="209"/>
      <c r="H74" s="49"/>
      <c r="I74" s="118"/>
      <c r="J74" s="22"/>
      <c r="M74" s="30"/>
      <c r="N74" s="30"/>
      <c r="O74" s="30"/>
      <c r="Q74" s="84"/>
    </row>
    <row r="75" spans="1:17" s="7" customFormat="1">
      <c r="A75" s="11"/>
      <c r="B75" s="60"/>
      <c r="C75" s="49"/>
      <c r="D75" s="49"/>
      <c r="E75" s="236"/>
      <c r="F75" s="49"/>
      <c r="G75" s="100"/>
      <c r="H75" s="49"/>
      <c r="I75" s="26"/>
      <c r="J75" s="22"/>
      <c r="M75" s="30"/>
      <c r="N75" s="30"/>
      <c r="O75" s="30"/>
      <c r="Q75" s="84"/>
    </row>
    <row r="76" spans="1:17" s="7" customFormat="1">
      <c r="A76" s="11" t="s">
        <v>32</v>
      </c>
      <c r="B76" s="9" t="s">
        <v>17</v>
      </c>
      <c r="C76" s="46"/>
      <c r="E76" s="237"/>
      <c r="G76" s="99"/>
      <c r="I76" s="26"/>
      <c r="J76" s="22"/>
      <c r="M76" s="30"/>
      <c r="N76" s="30"/>
      <c r="O76" s="30"/>
      <c r="Q76" s="91"/>
    </row>
    <row r="77" spans="1:17" s="7" customFormat="1">
      <c r="A77" s="11"/>
      <c r="B77" s="9"/>
      <c r="C77" s="46"/>
      <c r="E77" s="237"/>
      <c r="G77" s="99"/>
      <c r="I77" s="26"/>
      <c r="J77" s="22"/>
      <c r="M77" s="30"/>
      <c r="N77" s="30"/>
      <c r="O77" s="30"/>
      <c r="Q77" s="91"/>
    </row>
    <row r="78" spans="1:17" s="64" customFormat="1" ht="64.5" customHeight="1">
      <c r="A78" s="12" t="s">
        <v>33</v>
      </c>
      <c r="B78" s="52" t="s">
        <v>134</v>
      </c>
      <c r="C78" s="41"/>
      <c r="D78" s="41"/>
      <c r="E78" s="231"/>
      <c r="F78" s="41"/>
      <c r="G78" s="97"/>
      <c r="H78" s="61"/>
      <c r="I78" s="62"/>
      <c r="J78" s="63"/>
      <c r="M78" s="65"/>
      <c r="N78" s="65"/>
      <c r="O78" s="65"/>
      <c r="Q78" s="82"/>
    </row>
    <row r="79" spans="1:17">
      <c r="A79" s="18"/>
      <c r="B79" s="52"/>
      <c r="C79" s="59"/>
      <c r="D79" s="59"/>
      <c r="E79" s="233"/>
      <c r="F79" s="59"/>
      <c r="G79" s="104"/>
      <c r="H79" s="64"/>
      <c r="Q79" s="87"/>
    </row>
    <row r="80" spans="1:17">
      <c r="B80" s="52" t="s">
        <v>20</v>
      </c>
      <c r="C80" s="214">
        <v>0.5</v>
      </c>
      <c r="E80" s="230"/>
      <c r="F80" s="81"/>
      <c r="G80" s="213"/>
      <c r="H80" s="81"/>
    </row>
    <row r="81" spans="1:17">
      <c r="B81" s="52"/>
      <c r="E81" s="231"/>
      <c r="H81" s="61"/>
    </row>
    <row r="82" spans="1:17">
      <c r="B82" s="52"/>
      <c r="C82" s="207" t="s">
        <v>170</v>
      </c>
      <c r="D82" s="203"/>
      <c r="E82" s="235" t="s">
        <v>171</v>
      </c>
      <c r="F82" s="203"/>
      <c r="G82" s="208" t="s">
        <v>164</v>
      </c>
      <c r="H82" s="61"/>
    </row>
    <row r="83" spans="1:17" ht="65.25">
      <c r="A83" s="43" t="s">
        <v>36</v>
      </c>
      <c r="B83" s="52" t="s">
        <v>88</v>
      </c>
      <c r="E83" s="231"/>
      <c r="H83" s="61"/>
    </row>
    <row r="84" spans="1:17">
      <c r="B84" s="52"/>
      <c r="E84" s="231"/>
      <c r="H84" s="61"/>
    </row>
    <row r="85" spans="1:17" ht="25.5">
      <c r="B85" s="52" t="s">
        <v>141</v>
      </c>
      <c r="E85" s="231"/>
      <c r="H85" s="61"/>
    </row>
    <row r="86" spans="1:17">
      <c r="B86" s="52" t="s">
        <v>20</v>
      </c>
      <c r="C86" s="214">
        <f>5.46*0.8</f>
        <v>4.3680000000000003</v>
      </c>
      <c r="E86" s="230"/>
      <c r="F86" s="81"/>
      <c r="G86" s="213"/>
      <c r="H86" s="81"/>
    </row>
    <row r="87" spans="1:17">
      <c r="B87" s="52"/>
      <c r="E87" s="231"/>
      <c r="H87" s="41"/>
      <c r="J87" s="36"/>
    </row>
    <row r="88" spans="1:17">
      <c r="B88" s="52" t="s">
        <v>142</v>
      </c>
      <c r="E88" s="231"/>
      <c r="H88" s="61"/>
    </row>
    <row r="89" spans="1:17">
      <c r="B89" s="52" t="s">
        <v>20</v>
      </c>
      <c r="C89" s="214">
        <f>5.46*0.2</f>
        <v>1.0920000000000001</v>
      </c>
      <c r="E89" s="232"/>
      <c r="F89" s="81"/>
      <c r="G89" s="213"/>
      <c r="H89" s="81"/>
    </row>
    <row r="90" spans="1:17" s="68" customFormat="1">
      <c r="A90" s="69"/>
      <c r="B90" s="70"/>
      <c r="C90" s="66"/>
      <c r="D90" s="66"/>
      <c r="E90" s="231"/>
      <c r="F90" s="66"/>
      <c r="G90" s="97"/>
      <c r="H90" s="67"/>
      <c r="Q90" s="88"/>
    </row>
    <row r="91" spans="1:17" s="64" customFormat="1" ht="42" customHeight="1">
      <c r="A91" s="43" t="s">
        <v>45</v>
      </c>
      <c r="B91" s="52" t="s">
        <v>38</v>
      </c>
      <c r="C91" s="41"/>
      <c r="D91" s="41"/>
      <c r="E91" s="231"/>
      <c r="F91" s="41"/>
      <c r="G91" s="97"/>
      <c r="H91" s="61"/>
      <c r="I91" s="62"/>
      <c r="J91" s="63"/>
      <c r="M91" s="65"/>
      <c r="N91" s="65"/>
      <c r="O91" s="65"/>
      <c r="Q91" s="82"/>
    </row>
    <row r="92" spans="1:17">
      <c r="B92" s="52"/>
      <c r="C92" s="59"/>
      <c r="D92" s="59"/>
      <c r="E92" s="231"/>
      <c r="F92" s="59"/>
      <c r="G92" s="104"/>
      <c r="H92" s="64"/>
      <c r="Q92" s="87"/>
    </row>
    <row r="93" spans="1:17">
      <c r="B93" s="52" t="s">
        <v>25</v>
      </c>
      <c r="C93" s="214">
        <f>C41*0.75</f>
        <v>1.4249999999999998</v>
      </c>
      <c r="E93" s="232"/>
      <c r="G93" s="213"/>
      <c r="H93" s="41"/>
    </row>
    <row r="94" spans="1:17">
      <c r="B94" s="52"/>
      <c r="E94" s="231"/>
      <c r="H94" s="61"/>
    </row>
    <row r="95" spans="1:17" s="64" customFormat="1" ht="140.25">
      <c r="A95" s="43" t="s">
        <v>46</v>
      </c>
      <c r="B95" s="52" t="s">
        <v>90</v>
      </c>
      <c r="C95" s="41"/>
      <c r="D95" s="41"/>
      <c r="E95" s="231"/>
      <c r="F95" s="41"/>
      <c r="G95" s="97"/>
      <c r="H95" s="61"/>
      <c r="I95" s="62"/>
      <c r="J95" s="63"/>
      <c r="M95" s="65"/>
      <c r="N95" s="65"/>
      <c r="O95" s="65"/>
      <c r="Q95" s="82"/>
    </row>
    <row r="96" spans="1:17">
      <c r="A96" s="71"/>
      <c r="B96" s="52"/>
      <c r="C96" s="59"/>
      <c r="D96" s="59"/>
      <c r="E96" s="231"/>
      <c r="F96" s="59"/>
      <c r="G96" s="104"/>
      <c r="H96" s="64"/>
      <c r="Q96" s="87"/>
    </row>
    <row r="97" spans="1:17">
      <c r="B97" s="52" t="s">
        <v>20</v>
      </c>
      <c r="C97" s="214">
        <v>0.25</v>
      </c>
      <c r="E97" s="232"/>
      <c r="G97" s="213"/>
      <c r="H97" s="41"/>
    </row>
    <row r="98" spans="1:17">
      <c r="B98" s="52"/>
      <c r="C98" s="207" t="s">
        <v>170</v>
      </c>
      <c r="D98" s="203"/>
      <c r="E98" s="235" t="s">
        <v>171</v>
      </c>
      <c r="F98" s="203"/>
      <c r="G98" s="208" t="s">
        <v>164</v>
      </c>
      <c r="H98" s="61"/>
    </row>
    <row r="99" spans="1:17" s="64" customFormat="1" ht="114.75">
      <c r="A99" s="43" t="s">
        <v>47</v>
      </c>
      <c r="B99" s="52" t="s">
        <v>132</v>
      </c>
      <c r="C99" s="41"/>
      <c r="D99" s="41"/>
      <c r="E99" s="231"/>
      <c r="F99" s="41"/>
      <c r="G99" s="97"/>
      <c r="H99" s="61"/>
      <c r="I99" s="62"/>
      <c r="J99" s="63"/>
      <c r="M99" s="65"/>
      <c r="N99" s="65"/>
      <c r="O99" s="65"/>
      <c r="Q99" s="82"/>
    </row>
    <row r="100" spans="1:17">
      <c r="A100" s="71"/>
      <c r="B100" s="52"/>
      <c r="C100" s="59"/>
      <c r="D100" s="59"/>
      <c r="E100" s="231"/>
      <c r="F100" s="59"/>
      <c r="G100" s="104"/>
      <c r="H100" s="64"/>
      <c r="Q100" s="87"/>
    </row>
    <row r="101" spans="1:17">
      <c r="B101" s="52" t="s">
        <v>20</v>
      </c>
      <c r="C101" s="214">
        <v>0.9</v>
      </c>
      <c r="E101" s="232"/>
      <c r="G101" s="213"/>
      <c r="H101" s="41"/>
    </row>
    <row r="102" spans="1:17">
      <c r="B102" s="52"/>
      <c r="E102" s="231"/>
      <c r="H102" s="61"/>
    </row>
    <row r="103" spans="1:17" ht="89.25">
      <c r="A103" s="43" t="s">
        <v>48</v>
      </c>
      <c r="B103" s="52" t="s">
        <v>91</v>
      </c>
      <c r="E103" s="231"/>
      <c r="H103" s="61"/>
    </row>
    <row r="104" spans="1:17">
      <c r="A104" s="71"/>
      <c r="B104" s="52"/>
      <c r="E104" s="231"/>
      <c r="H104" s="61"/>
    </row>
    <row r="105" spans="1:17">
      <c r="B105" s="52" t="s">
        <v>20</v>
      </c>
      <c r="C105" s="214">
        <f>3.64*0.64</f>
        <v>2.3296000000000001</v>
      </c>
      <c r="E105" s="232"/>
      <c r="G105" s="213"/>
      <c r="H105" s="41"/>
    </row>
    <row r="106" spans="1:17">
      <c r="B106" s="52"/>
      <c r="E106" s="231"/>
      <c r="H106" s="61"/>
    </row>
    <row r="107" spans="1:17" s="64" customFormat="1" ht="38.25">
      <c r="A107" s="43" t="s">
        <v>49</v>
      </c>
      <c r="B107" s="52" t="s">
        <v>92</v>
      </c>
      <c r="C107" s="41"/>
      <c r="D107" s="41"/>
      <c r="E107" s="231"/>
      <c r="F107" s="41"/>
      <c r="G107" s="97"/>
      <c r="H107" s="61"/>
      <c r="Q107" s="82"/>
    </row>
    <row r="108" spans="1:17">
      <c r="A108" s="71"/>
      <c r="B108" s="52"/>
      <c r="C108" s="59"/>
      <c r="D108" s="59"/>
      <c r="E108" s="231"/>
      <c r="F108" s="59"/>
      <c r="G108" s="104"/>
      <c r="H108" s="64"/>
      <c r="I108" s="38"/>
      <c r="J108" s="38"/>
      <c r="M108" s="38"/>
      <c r="N108" s="38"/>
      <c r="O108" s="38"/>
      <c r="Q108" s="87"/>
    </row>
    <row r="109" spans="1:17">
      <c r="B109" s="52" t="s">
        <v>20</v>
      </c>
      <c r="C109" s="214">
        <f>3.64*0.36</f>
        <v>1.3104</v>
      </c>
      <c r="E109" s="232"/>
      <c r="G109" s="213"/>
      <c r="H109" s="41"/>
      <c r="I109" s="38"/>
      <c r="J109" s="38"/>
      <c r="M109" s="38"/>
      <c r="N109" s="38"/>
      <c r="O109" s="38"/>
    </row>
    <row r="110" spans="1:17">
      <c r="B110" s="52"/>
      <c r="E110" s="231"/>
      <c r="H110" s="61"/>
      <c r="I110" s="38"/>
      <c r="J110" s="38"/>
      <c r="M110" s="38"/>
      <c r="N110" s="38"/>
      <c r="O110" s="38"/>
    </row>
    <row r="111" spans="1:17" ht="114.75">
      <c r="A111" s="43" t="s">
        <v>50</v>
      </c>
      <c r="B111" s="52" t="s">
        <v>177</v>
      </c>
      <c r="E111" s="231"/>
      <c r="H111" s="61"/>
      <c r="K111" s="52"/>
    </row>
    <row r="112" spans="1:17">
      <c r="A112" s="71"/>
      <c r="B112" s="52"/>
      <c r="E112" s="231"/>
      <c r="H112" s="61"/>
    </row>
    <row r="113" spans="1:11">
      <c r="B113" s="52" t="s">
        <v>20</v>
      </c>
      <c r="C113" s="214">
        <v>0.6</v>
      </c>
      <c r="E113" s="232"/>
      <c r="G113" s="213"/>
      <c r="H113" s="41"/>
    </row>
    <row r="114" spans="1:11">
      <c r="B114" s="52"/>
      <c r="E114" s="231"/>
      <c r="H114" s="61"/>
    </row>
    <row r="115" spans="1:11" ht="25.5">
      <c r="A115" s="43" t="s">
        <v>63</v>
      </c>
      <c r="B115" s="187" t="s">
        <v>248</v>
      </c>
      <c r="E115" s="231"/>
      <c r="H115" s="61"/>
      <c r="K115" s="121"/>
    </row>
    <row r="116" spans="1:11">
      <c r="A116" s="71"/>
      <c r="B116" s="72"/>
      <c r="E116" s="231"/>
      <c r="H116" s="61"/>
    </row>
    <row r="117" spans="1:11">
      <c r="B117" s="52" t="s">
        <v>25</v>
      </c>
      <c r="C117" s="214">
        <f>0.15/0.05</f>
        <v>2.9999999999999996</v>
      </c>
      <c r="E117" s="232"/>
      <c r="G117" s="213"/>
      <c r="H117" s="41"/>
    </row>
    <row r="118" spans="1:11">
      <c r="B118" s="52"/>
      <c r="C118" s="207" t="s">
        <v>170</v>
      </c>
      <c r="D118" s="203"/>
      <c r="E118" s="235" t="s">
        <v>171</v>
      </c>
      <c r="F118" s="203"/>
      <c r="G118" s="208" t="s">
        <v>164</v>
      </c>
      <c r="H118" s="61"/>
    </row>
    <row r="119" spans="1:11" ht="116.25">
      <c r="A119" s="43" t="s">
        <v>57</v>
      </c>
      <c r="B119" s="52" t="s">
        <v>96</v>
      </c>
      <c r="E119" s="231"/>
      <c r="H119" s="61"/>
    </row>
    <row r="120" spans="1:11">
      <c r="B120" s="52"/>
      <c r="E120" s="231"/>
      <c r="H120" s="61"/>
    </row>
    <row r="121" spans="1:11">
      <c r="B121" s="52" t="s">
        <v>20</v>
      </c>
      <c r="C121" s="214">
        <f>(5.46-C109)*1.3</f>
        <v>5.3944799999999997</v>
      </c>
      <c r="E121" s="232"/>
      <c r="G121" s="213"/>
      <c r="H121" s="41"/>
    </row>
    <row r="122" spans="1:11">
      <c r="B122" s="52"/>
      <c r="E122" s="231"/>
      <c r="H122" s="61"/>
    </row>
    <row r="123" spans="1:11" ht="127.5">
      <c r="A123" s="43" t="s">
        <v>58</v>
      </c>
      <c r="B123" s="52" t="s">
        <v>131</v>
      </c>
      <c r="E123" s="231"/>
      <c r="H123" s="61"/>
    </row>
    <row r="124" spans="1:11">
      <c r="B124" s="52"/>
      <c r="E124" s="231"/>
      <c r="H124" s="61"/>
    </row>
    <row r="125" spans="1:11">
      <c r="B125" s="52" t="s">
        <v>25</v>
      </c>
      <c r="C125" s="214">
        <f>C80/0.15</f>
        <v>3.3333333333333335</v>
      </c>
      <c r="E125" s="232"/>
      <c r="G125" s="213"/>
      <c r="H125" s="41"/>
    </row>
    <row r="126" spans="1:11">
      <c r="B126" s="52"/>
      <c r="C126" s="227"/>
      <c r="D126" s="229"/>
      <c r="E126" s="234"/>
      <c r="F126" s="229"/>
      <c r="G126" s="228"/>
      <c r="H126" s="61"/>
    </row>
    <row r="127" spans="1:11" ht="55.7" customHeight="1">
      <c r="A127" s="43" t="s">
        <v>64</v>
      </c>
      <c r="B127" s="52" t="s">
        <v>97</v>
      </c>
      <c r="E127" s="231"/>
      <c r="H127" s="61"/>
    </row>
    <row r="128" spans="1:11">
      <c r="B128" s="52"/>
      <c r="E128" s="231"/>
      <c r="H128" s="61"/>
    </row>
    <row r="129" spans="1:17">
      <c r="B129" s="52" t="s">
        <v>41</v>
      </c>
      <c r="C129" s="214">
        <v>1</v>
      </c>
      <c r="E129" s="232"/>
      <c r="G129" s="213"/>
      <c r="H129" s="41"/>
    </row>
    <row r="130" spans="1:17">
      <c r="B130" s="52"/>
      <c r="E130" s="231"/>
      <c r="H130" s="61"/>
    </row>
    <row r="131" spans="1:17" s="64" customFormat="1" ht="63.75">
      <c r="A131" s="43" t="s">
        <v>65</v>
      </c>
      <c r="B131" s="52" t="s">
        <v>7</v>
      </c>
      <c r="C131" s="41"/>
      <c r="D131" s="41"/>
      <c r="E131" s="231"/>
      <c r="F131" s="41"/>
      <c r="G131" s="97"/>
      <c r="H131" s="61"/>
      <c r="I131" s="62"/>
      <c r="J131" s="63"/>
      <c r="M131" s="65"/>
      <c r="N131" s="65"/>
      <c r="O131" s="65"/>
      <c r="Q131" s="82"/>
    </row>
    <row r="132" spans="1:17">
      <c r="B132" s="52"/>
      <c r="C132" s="59"/>
      <c r="D132" s="59"/>
      <c r="E132" s="233"/>
      <c r="F132" s="59"/>
      <c r="G132" s="104"/>
      <c r="H132" s="64"/>
      <c r="Q132" s="87"/>
    </row>
    <row r="133" spans="1:17">
      <c r="B133" s="52" t="s">
        <v>39</v>
      </c>
      <c r="E133" s="231"/>
      <c r="G133" s="213"/>
      <c r="H133" s="41"/>
    </row>
    <row r="134" spans="1:17">
      <c r="B134" s="52"/>
      <c r="E134" s="231"/>
      <c r="H134" s="61"/>
    </row>
    <row r="135" spans="1:17" s="7" customFormat="1">
      <c r="A135" s="43"/>
      <c r="B135" s="60" t="s">
        <v>21</v>
      </c>
      <c r="C135" s="56"/>
      <c r="D135" s="56"/>
      <c r="E135" s="239"/>
      <c r="F135" s="56"/>
      <c r="G135" s="209"/>
      <c r="H135" s="49"/>
      <c r="I135" s="26"/>
      <c r="J135" s="22"/>
      <c r="M135" s="30"/>
      <c r="N135" s="30"/>
      <c r="O135" s="30"/>
      <c r="Q135" s="86"/>
    </row>
    <row r="136" spans="1:17" ht="15.95" customHeight="1">
      <c r="A136" s="47"/>
      <c r="B136" s="9"/>
      <c r="C136" s="56"/>
      <c r="D136" s="56"/>
      <c r="E136" s="239"/>
      <c r="F136" s="56"/>
      <c r="G136" s="100"/>
      <c r="Q136" s="86"/>
    </row>
    <row r="137" spans="1:17">
      <c r="A137" s="11" t="s">
        <v>42</v>
      </c>
      <c r="B137" s="9" t="s">
        <v>18</v>
      </c>
      <c r="C137" s="46"/>
      <c r="D137" s="7"/>
      <c r="E137" s="237"/>
      <c r="F137" s="7"/>
      <c r="G137" s="99"/>
      <c r="H137" s="7"/>
      <c r="Q137" s="91"/>
    </row>
    <row r="138" spans="1:17">
      <c r="A138" s="11"/>
      <c r="B138" s="9"/>
      <c r="C138" s="46"/>
      <c r="D138" s="7"/>
      <c r="E138" s="237"/>
      <c r="F138" s="7"/>
      <c r="G138" s="99"/>
      <c r="H138" s="7"/>
      <c r="Q138" s="91"/>
    </row>
    <row r="139" spans="1:17" ht="38.25">
      <c r="A139" s="43" t="s">
        <v>237</v>
      </c>
      <c r="B139" s="73" t="s">
        <v>238</v>
      </c>
      <c r="E139" s="231"/>
      <c r="H139" s="61"/>
    </row>
    <row r="140" spans="1:17">
      <c r="B140" s="52"/>
      <c r="E140" s="231"/>
      <c r="H140" s="61"/>
    </row>
    <row r="141" spans="1:17">
      <c r="B141" s="52" t="s">
        <v>22</v>
      </c>
      <c r="C141" s="214">
        <v>1.5</v>
      </c>
      <c r="E141" s="232"/>
      <c r="G141" s="213"/>
      <c r="H141" s="41"/>
    </row>
    <row r="142" spans="1:17">
      <c r="B142" s="52"/>
      <c r="C142" s="207" t="s">
        <v>170</v>
      </c>
      <c r="D142" s="203"/>
      <c r="E142" s="235" t="s">
        <v>171</v>
      </c>
      <c r="F142" s="203"/>
      <c r="G142" s="208" t="s">
        <v>164</v>
      </c>
      <c r="H142" s="41"/>
    </row>
    <row r="143" spans="1:17" ht="76.5">
      <c r="A143" s="43" t="s">
        <v>239</v>
      </c>
      <c r="B143" s="73" t="s">
        <v>240</v>
      </c>
      <c r="E143" s="231"/>
      <c r="H143" s="61"/>
    </row>
    <row r="144" spans="1:17">
      <c r="B144" s="52"/>
      <c r="E144" s="231"/>
      <c r="H144" s="61"/>
    </row>
    <row r="145" spans="1:17">
      <c r="B145" s="52" t="s">
        <v>22</v>
      </c>
      <c r="C145" s="214">
        <v>1.5</v>
      </c>
      <c r="E145" s="230"/>
      <c r="G145" s="213"/>
      <c r="H145" s="41"/>
    </row>
    <row r="146" spans="1:17" s="79" customFormat="1">
      <c r="A146" s="43"/>
      <c r="B146" s="52"/>
      <c r="C146" s="124"/>
      <c r="D146" s="41"/>
      <c r="E146" s="231"/>
      <c r="F146" s="41"/>
      <c r="G146" s="97"/>
      <c r="H146" s="41"/>
      <c r="Q146" s="95"/>
    </row>
    <row r="147" spans="1:17" s="79" customFormat="1" ht="102">
      <c r="A147" s="43" t="s">
        <v>101</v>
      </c>
      <c r="B147" s="10" t="s">
        <v>195</v>
      </c>
      <c r="C147" s="41"/>
      <c r="D147" s="41"/>
      <c r="E147" s="231"/>
      <c r="F147" s="41"/>
      <c r="G147" s="97"/>
      <c r="H147" s="125"/>
      <c r="K147" s="10"/>
      <c r="Q147" s="82"/>
    </row>
    <row r="148" spans="1:17" s="79" customFormat="1">
      <c r="A148" s="43"/>
      <c r="B148" s="10"/>
      <c r="C148" s="41"/>
      <c r="D148" s="41"/>
      <c r="E148" s="231"/>
      <c r="F148" s="41"/>
      <c r="G148" s="97"/>
      <c r="H148" s="125"/>
      <c r="K148" s="10"/>
      <c r="Q148" s="82"/>
    </row>
    <row r="149" spans="1:17" s="79" customFormat="1">
      <c r="A149" s="43"/>
      <c r="B149" s="52" t="s">
        <v>117</v>
      </c>
      <c r="C149" s="216">
        <v>1</v>
      </c>
      <c r="D149" s="41"/>
      <c r="E149" s="232"/>
      <c r="F149" s="41"/>
      <c r="G149" s="213"/>
      <c r="H149" s="41"/>
      <c r="Q149" s="95"/>
    </row>
    <row r="150" spans="1:17" s="79" customFormat="1">
      <c r="A150" s="43"/>
      <c r="B150" s="52"/>
      <c r="C150" s="124"/>
      <c r="D150" s="41"/>
      <c r="E150" s="231"/>
      <c r="F150" s="41"/>
      <c r="G150" s="97"/>
      <c r="H150" s="41"/>
      <c r="Q150" s="95"/>
    </row>
    <row r="151" spans="1:17" s="79" customFormat="1" ht="165.75">
      <c r="A151" s="43" t="s">
        <v>79</v>
      </c>
      <c r="B151" s="10" t="s">
        <v>194</v>
      </c>
      <c r="C151" s="41"/>
      <c r="D151" s="41"/>
      <c r="E151" s="231"/>
      <c r="F151" s="41"/>
      <c r="G151" s="97"/>
      <c r="H151" s="125"/>
      <c r="K151" s="10"/>
      <c r="Q151" s="82"/>
    </row>
    <row r="152" spans="1:17" s="79" customFormat="1">
      <c r="A152" s="43"/>
      <c r="B152" s="52"/>
      <c r="C152" s="41"/>
      <c r="D152" s="41"/>
      <c r="E152" s="231"/>
      <c r="F152" s="41"/>
      <c r="G152" s="97"/>
      <c r="H152" s="125"/>
      <c r="Q152" s="82"/>
    </row>
    <row r="153" spans="1:17" s="79" customFormat="1">
      <c r="A153" s="43"/>
      <c r="B153" s="52" t="s">
        <v>117</v>
      </c>
      <c r="C153" s="216">
        <f>C149</f>
        <v>1</v>
      </c>
      <c r="D153" s="41"/>
      <c r="E153" s="232"/>
      <c r="F153" s="41"/>
      <c r="G153" s="213"/>
      <c r="H153" s="41"/>
      <c r="Q153" s="95"/>
    </row>
    <row r="154" spans="1:17" s="5" customFormat="1">
      <c r="A154" s="6"/>
      <c r="B154" s="10"/>
      <c r="C154" s="4"/>
      <c r="D154" s="2"/>
      <c r="E154" s="231"/>
      <c r="F154" s="2"/>
      <c r="G154" s="105"/>
      <c r="H154" s="2"/>
      <c r="Q154" s="89"/>
    </row>
    <row r="155" spans="1:17" s="5" customFormat="1" ht="191.25">
      <c r="A155" s="6" t="s">
        <v>109</v>
      </c>
      <c r="B155" s="126" t="s">
        <v>167</v>
      </c>
      <c r="C155" s="2"/>
      <c r="D155" s="2"/>
      <c r="E155" s="231"/>
      <c r="F155" s="2"/>
      <c r="G155" s="105"/>
      <c r="H155" s="15"/>
      <c r="K155" s="10"/>
      <c r="Q155" s="89"/>
    </row>
    <row r="156" spans="1:17" s="5" customFormat="1">
      <c r="A156" s="6"/>
      <c r="B156" s="10"/>
      <c r="C156" s="2"/>
      <c r="D156" s="2"/>
      <c r="E156" s="231"/>
      <c r="F156" s="2"/>
      <c r="G156" s="105"/>
      <c r="H156" s="15"/>
      <c r="Q156" s="89"/>
    </row>
    <row r="157" spans="1:17" s="5" customFormat="1">
      <c r="A157" s="6"/>
      <c r="B157" s="10" t="s">
        <v>23</v>
      </c>
      <c r="C157" s="217">
        <v>3</v>
      </c>
      <c r="D157" s="2"/>
      <c r="E157" s="232"/>
      <c r="F157" s="2"/>
      <c r="G157" s="218"/>
      <c r="H157" s="2"/>
      <c r="J157" s="122"/>
      <c r="Q157" s="89"/>
    </row>
    <row r="158" spans="1:17">
      <c r="B158" s="52"/>
      <c r="C158" s="207" t="s">
        <v>170</v>
      </c>
      <c r="D158" s="203"/>
      <c r="E158" s="235" t="s">
        <v>171</v>
      </c>
      <c r="F158" s="203"/>
      <c r="G158" s="208" t="s">
        <v>164</v>
      </c>
      <c r="H158" s="61"/>
      <c r="I158" s="38"/>
      <c r="J158" s="38"/>
      <c r="M158" s="38"/>
      <c r="N158" s="38"/>
      <c r="O158" s="38"/>
    </row>
    <row r="159" spans="1:17" ht="40.5" customHeight="1">
      <c r="A159" s="43" t="s">
        <v>1</v>
      </c>
      <c r="B159" s="52" t="s">
        <v>104</v>
      </c>
      <c r="E159" s="231"/>
      <c r="H159" s="61"/>
    </row>
    <row r="160" spans="1:17">
      <c r="B160" s="52"/>
      <c r="E160" s="231"/>
      <c r="H160" s="61"/>
    </row>
    <row r="161" spans="1:17">
      <c r="B161" s="52" t="s">
        <v>23</v>
      </c>
      <c r="C161" s="214">
        <v>1</v>
      </c>
      <c r="E161" s="232"/>
      <c r="G161" s="213"/>
      <c r="H161" s="41"/>
      <c r="Q161" s="95"/>
    </row>
    <row r="162" spans="1:17">
      <c r="B162" s="52"/>
      <c r="E162" s="231"/>
      <c r="H162" s="41"/>
      <c r="Q162" s="95"/>
    </row>
    <row r="163" spans="1:17" ht="30.75" customHeight="1">
      <c r="A163" s="43" t="s">
        <v>105</v>
      </c>
      <c r="B163" s="52" t="s">
        <v>103</v>
      </c>
      <c r="E163" s="231"/>
      <c r="H163" s="61"/>
    </row>
    <row r="164" spans="1:17">
      <c r="B164" s="52"/>
      <c r="E164" s="231"/>
      <c r="H164" s="49"/>
    </row>
    <row r="165" spans="1:17">
      <c r="B165" s="52" t="s">
        <v>22</v>
      </c>
      <c r="C165" s="214">
        <v>1.5</v>
      </c>
      <c r="E165" s="230"/>
      <c r="G165" s="213"/>
      <c r="H165" s="41"/>
    </row>
    <row r="166" spans="1:17">
      <c r="B166" s="52"/>
      <c r="E166" s="231"/>
      <c r="H166" s="41"/>
      <c r="Q166" s="95"/>
    </row>
    <row r="167" spans="1:17" ht="42.75" customHeight="1">
      <c r="A167" s="43" t="s">
        <v>2</v>
      </c>
      <c r="B167" s="52" t="s">
        <v>102</v>
      </c>
      <c r="E167" s="231"/>
      <c r="H167" s="61"/>
    </row>
    <row r="168" spans="1:17">
      <c r="B168" s="52"/>
      <c r="E168" s="231"/>
      <c r="H168" s="49"/>
    </row>
    <row r="169" spans="1:17">
      <c r="B169" s="52" t="s">
        <v>22</v>
      </c>
      <c r="C169" s="214">
        <v>1.5</v>
      </c>
      <c r="E169" s="230"/>
      <c r="G169" s="213"/>
      <c r="H169" s="41"/>
    </row>
    <row r="170" spans="1:17">
      <c r="B170" s="52"/>
      <c r="E170" s="240"/>
      <c r="H170" s="41"/>
    </row>
    <row r="171" spans="1:17" ht="22.5" customHeight="1">
      <c r="A171" s="43" t="s">
        <v>110</v>
      </c>
      <c r="B171" s="52" t="s">
        <v>106</v>
      </c>
      <c r="E171" s="231"/>
      <c r="H171" s="61"/>
    </row>
    <row r="172" spans="1:17">
      <c r="B172" s="52"/>
      <c r="E172" s="231"/>
      <c r="H172" s="49"/>
    </row>
    <row r="173" spans="1:17">
      <c r="B173" s="52" t="s">
        <v>22</v>
      </c>
      <c r="C173" s="214">
        <v>1.5</v>
      </c>
      <c r="E173" s="230"/>
      <c r="G173" s="213"/>
      <c r="H173" s="41"/>
    </row>
    <row r="174" spans="1:17">
      <c r="B174" s="52"/>
      <c r="H174" s="61"/>
    </row>
    <row r="175" spans="1:17" s="64" customFormat="1" ht="63.75">
      <c r="A175" s="43" t="s">
        <v>111</v>
      </c>
      <c r="B175" s="52" t="s">
        <v>9</v>
      </c>
      <c r="C175" s="41"/>
      <c r="D175" s="41"/>
      <c r="E175" s="107"/>
      <c r="F175" s="41"/>
      <c r="G175" s="97"/>
      <c r="H175" s="61"/>
      <c r="I175" s="62"/>
      <c r="J175" s="63"/>
      <c r="M175" s="65"/>
      <c r="N175" s="65"/>
      <c r="O175" s="65"/>
      <c r="Q175" s="82"/>
    </row>
    <row r="176" spans="1:17">
      <c r="B176" s="52"/>
      <c r="C176" s="59"/>
      <c r="D176" s="59"/>
      <c r="E176" s="114"/>
      <c r="F176" s="59"/>
      <c r="G176" s="104"/>
      <c r="H176" s="64"/>
      <c r="Q176" s="87"/>
    </row>
    <row r="177" spans="2:17">
      <c r="B177" s="52" t="s">
        <v>39</v>
      </c>
      <c r="G177" s="213"/>
      <c r="H177" s="41"/>
      <c r="J177" s="97"/>
      <c r="K177" s="97"/>
    </row>
    <row r="178" spans="2:17">
      <c r="B178" s="52"/>
      <c r="H178" s="61"/>
    </row>
    <row r="179" spans="2:17">
      <c r="B179" s="48" t="s">
        <v>24</v>
      </c>
      <c r="C179" s="56"/>
      <c r="D179" s="56"/>
      <c r="E179" s="112"/>
      <c r="F179" s="56"/>
      <c r="G179" s="209"/>
      <c r="Q179" s="86"/>
    </row>
    <row r="180" spans="2:17">
      <c r="H180" s="61"/>
    </row>
    <row r="181" spans="2:17">
      <c r="H181" s="61"/>
    </row>
  </sheetData>
  <sheetProtection selectLockedCells="1"/>
  <mergeCells count="2">
    <mergeCell ref="E22:G22"/>
    <mergeCell ref="E23:G23"/>
  </mergeCells>
  <conditionalFormatting sqref="G14:G17 C41:G57 C60:G81 C86:G97 C101:G117 C119:G125 C129:G141 C143:G149 C153:G157 C159:G173 C177:G179">
    <cfRule type="cellIs" dxfId="6" priority="5" stopIfTrue="1" operator="greaterThan">
      <formula>0</formula>
    </cfRule>
  </conditionalFormatting>
  <pageMargins left="1.1811023622047245" right="0.15748031496062992" top="0.59055118110236227" bottom="0.59055118110236227" header="0.39370078740157483" footer="0.39370078740157483"/>
  <pageSetup paperSize="9" orientation="portrait" useFirstPageNumber="1" r:id="rId1"/>
  <headerFooter alignWithMargins="0">
    <oddHeader>&amp;R&amp;"Arial,Navadno"&amp;9KANAL PV10</oddHeader>
    <oddFooter>&amp;C&amp;"Arial,Navadno"&amp;10&amp;P</oddFooter>
  </headerFooter>
  <rowBreaks count="7" manualBreakCount="7">
    <brk id="33" max="6" man="1"/>
    <brk id="57" max="6" man="1"/>
    <brk id="81" max="6" man="1"/>
    <brk id="97" max="6" man="1"/>
    <brk id="117" max="6" man="1"/>
    <brk id="141" max="6" man="1"/>
    <brk id="157" max="6"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Q730"/>
  <sheetViews>
    <sheetView view="pageBreakPreview" topLeftCell="A26" zoomScale="60" zoomScaleNormal="100" workbookViewId="0">
      <selection activeCell="E44" sqref="E44:E143"/>
    </sheetView>
  </sheetViews>
  <sheetFormatPr defaultColWidth="8.6640625" defaultRowHeight="15.75"/>
  <cols>
    <col min="1" max="1" width="6" style="141" customWidth="1"/>
    <col min="2" max="2" width="27.44140625" style="161" customWidth="1"/>
    <col min="3" max="3" width="7.44140625" style="132" customWidth="1"/>
    <col min="4" max="4" width="3.6640625" style="132" customWidth="1"/>
    <col min="5" max="5" width="7.5546875" style="133" bestFit="1" customWidth="1"/>
    <col min="6" max="6" width="3.6640625" style="132" customWidth="1"/>
    <col min="7" max="7" width="15.109375" style="134" customWidth="1"/>
    <col min="8" max="8" width="3.6640625" style="136" customWidth="1"/>
    <col min="9" max="9" width="3.6640625" style="137" customWidth="1"/>
    <col min="10" max="10" width="12.109375" style="138" customWidth="1"/>
    <col min="11" max="11" width="17.6640625" style="136" customWidth="1"/>
    <col min="12" max="12" width="15.5546875" style="136" customWidth="1"/>
    <col min="13" max="15" width="8.6640625" style="139" customWidth="1"/>
    <col min="16" max="16" width="8.6640625" style="136" customWidth="1"/>
    <col min="17" max="17" width="11.109375" style="135" customWidth="1"/>
    <col min="18" max="16384" width="8.6640625" style="136"/>
  </cols>
  <sheetData>
    <row r="1" spans="1:17" s="130" customFormat="1" ht="15.95" customHeight="1">
      <c r="A1" s="128"/>
      <c r="B1" s="129" t="s">
        <v>11</v>
      </c>
      <c r="C1" s="1" t="s">
        <v>123</v>
      </c>
      <c r="D1" s="33"/>
      <c r="E1" s="33"/>
      <c r="F1" s="2"/>
      <c r="G1" s="96"/>
      <c r="H1" s="78"/>
      <c r="Q1" s="90"/>
    </row>
    <row r="2" spans="1:17" s="130" customFormat="1" ht="15.95" customHeight="1">
      <c r="A2" s="128"/>
      <c r="B2" s="129"/>
      <c r="C2" s="1" t="s">
        <v>124</v>
      </c>
      <c r="D2" s="33"/>
      <c r="E2" s="33"/>
      <c r="F2" s="2"/>
      <c r="G2" s="96"/>
      <c r="H2" s="78"/>
      <c r="Q2" s="90"/>
    </row>
    <row r="3" spans="1:17" s="130" customFormat="1">
      <c r="A3" s="128"/>
      <c r="B3" s="129" t="s">
        <v>8</v>
      </c>
      <c r="C3" s="131" t="s">
        <v>231</v>
      </c>
      <c r="D3" s="132"/>
      <c r="E3" s="133"/>
      <c r="F3" s="132"/>
      <c r="G3" s="134"/>
      <c r="Q3" s="135"/>
    </row>
    <row r="4" spans="1:17" s="130" customFormat="1">
      <c r="A4" s="128"/>
      <c r="B4" s="129" t="s">
        <v>144</v>
      </c>
      <c r="C4" s="40" t="s">
        <v>207</v>
      </c>
      <c r="D4" s="33"/>
      <c r="E4" s="106"/>
      <c r="F4" s="2"/>
      <c r="G4" s="134"/>
      <c r="Q4" s="90"/>
    </row>
    <row r="5" spans="1:17" s="130" customFormat="1">
      <c r="A5" s="128"/>
      <c r="B5" s="129" t="s">
        <v>13</v>
      </c>
      <c r="C5" s="1" t="s">
        <v>172</v>
      </c>
      <c r="D5" s="33"/>
      <c r="E5" s="106"/>
      <c r="F5" s="2"/>
      <c r="G5" s="134"/>
      <c r="Q5" s="90"/>
    </row>
    <row r="6" spans="1:17">
      <c r="A6" s="128"/>
      <c r="B6" s="129"/>
      <c r="C6" s="42" t="s">
        <v>173</v>
      </c>
      <c r="D6" s="41"/>
      <c r="E6" s="107"/>
      <c r="F6" s="41"/>
    </row>
    <row r="7" spans="1:17">
      <c r="A7" s="128"/>
      <c r="B7" s="129"/>
      <c r="C7" s="140"/>
    </row>
    <row r="10" spans="1:17" ht="18">
      <c r="A10" s="141" t="s">
        <v>14</v>
      </c>
      <c r="B10" s="142" t="s">
        <v>52</v>
      </c>
      <c r="C10" s="143"/>
      <c r="D10" s="143"/>
      <c r="E10" s="144"/>
      <c r="F10" s="143"/>
      <c r="G10" s="145"/>
      <c r="Q10" s="146"/>
    </row>
    <row r="11" spans="1:17">
      <c r="B11" s="143"/>
      <c r="C11" s="143"/>
      <c r="D11" s="143"/>
      <c r="E11" s="144"/>
      <c r="F11" s="143"/>
      <c r="G11" s="145"/>
      <c r="Q11" s="146"/>
    </row>
    <row r="12" spans="1:17">
      <c r="B12" s="143"/>
      <c r="C12" s="143"/>
      <c r="D12" s="143"/>
      <c r="E12" s="144"/>
      <c r="F12" s="143"/>
      <c r="G12" s="145"/>
      <c r="Q12" s="146"/>
    </row>
    <row r="15" spans="1:17" s="7" customFormat="1">
      <c r="A15" s="8" t="s">
        <v>15</v>
      </c>
      <c r="B15" s="9" t="s">
        <v>16</v>
      </c>
      <c r="C15" s="46"/>
      <c r="E15" s="109"/>
      <c r="G15" s="99"/>
      <c r="I15" s="26"/>
      <c r="J15" s="22"/>
      <c r="M15" s="30"/>
      <c r="N15" s="30"/>
      <c r="O15" s="30"/>
      <c r="Q15" s="91"/>
    </row>
    <row r="16" spans="1:17" s="7" customFormat="1">
      <c r="A16" s="8"/>
      <c r="B16" s="9"/>
      <c r="C16" s="46"/>
      <c r="E16" s="109"/>
      <c r="G16" s="99"/>
      <c r="I16" s="26"/>
      <c r="J16" s="22"/>
      <c r="M16" s="30"/>
      <c r="N16" s="30"/>
      <c r="O16" s="30"/>
      <c r="Q16" s="91"/>
    </row>
    <row r="17" spans="1:17" s="7" customFormat="1">
      <c r="A17" s="147" t="s">
        <v>27</v>
      </c>
      <c r="B17" s="148" t="s">
        <v>26</v>
      </c>
      <c r="C17" s="149"/>
      <c r="D17" s="149"/>
      <c r="E17" s="150"/>
      <c r="F17" s="149"/>
      <c r="G17" s="211"/>
      <c r="H17" s="80"/>
      <c r="I17" s="26"/>
      <c r="J17" s="22"/>
      <c r="K17" s="119"/>
      <c r="M17" s="30"/>
      <c r="N17" s="30"/>
      <c r="O17" s="30"/>
      <c r="Q17" s="152"/>
    </row>
    <row r="18" spans="1:17">
      <c r="A18" s="147" t="s">
        <v>32</v>
      </c>
      <c r="B18" s="148" t="s">
        <v>17</v>
      </c>
      <c r="C18" s="149"/>
      <c r="D18" s="149"/>
      <c r="E18" s="150"/>
      <c r="F18" s="149"/>
      <c r="G18" s="211"/>
      <c r="H18" s="80"/>
      <c r="K18" s="153"/>
      <c r="Q18" s="152"/>
    </row>
    <row r="19" spans="1:17">
      <c r="A19" s="147"/>
      <c r="B19" s="148"/>
      <c r="C19" s="149"/>
      <c r="D19" s="149"/>
      <c r="E19" s="150"/>
      <c r="F19" s="149"/>
      <c r="G19" s="151"/>
      <c r="K19" s="154"/>
      <c r="Q19" s="152"/>
    </row>
    <row r="20" spans="1:17" ht="16.5" thickBot="1">
      <c r="A20" s="147"/>
      <c r="B20" s="155" t="s">
        <v>53</v>
      </c>
      <c r="C20" s="156"/>
      <c r="D20" s="156"/>
      <c r="E20" s="157"/>
      <c r="F20" s="156"/>
      <c r="G20" s="212"/>
      <c r="H20" s="80"/>
      <c r="K20" s="158"/>
      <c r="Q20" s="159"/>
    </row>
    <row r="24" spans="1:17">
      <c r="B24" s="53" t="s">
        <v>81</v>
      </c>
      <c r="D24" s="460"/>
      <c r="E24" s="460"/>
      <c r="F24" s="460"/>
      <c r="G24" s="460"/>
    </row>
    <row r="25" spans="1:17" ht="82.5" customHeight="1">
      <c r="B25" s="53" t="s">
        <v>84</v>
      </c>
      <c r="D25" s="223"/>
      <c r="E25" s="223"/>
      <c r="F25" s="223"/>
      <c r="G25" s="223"/>
    </row>
    <row r="26" spans="1:17">
      <c r="B26" s="53"/>
      <c r="D26" s="223"/>
      <c r="E26" s="223"/>
      <c r="F26" s="223"/>
      <c r="G26" s="223"/>
    </row>
    <row r="27" spans="1:17">
      <c r="B27" s="53" t="s">
        <v>82</v>
      </c>
      <c r="D27" s="223"/>
      <c r="E27" s="223"/>
      <c r="F27" s="223"/>
      <c r="G27" s="223"/>
    </row>
    <row r="28" spans="1:17" ht="63.75">
      <c r="B28" s="53" t="s">
        <v>83</v>
      </c>
      <c r="D28" s="223"/>
      <c r="E28" s="223"/>
      <c r="F28" s="223"/>
      <c r="G28" s="223"/>
    </row>
    <row r="29" spans="1:17">
      <c r="B29" s="53"/>
      <c r="D29" s="223"/>
      <c r="E29" s="223"/>
      <c r="F29" s="223"/>
      <c r="G29" s="223"/>
    </row>
    <row r="30" spans="1:17">
      <c r="B30" s="161" t="s">
        <v>143</v>
      </c>
      <c r="D30" s="460"/>
      <c r="E30" s="460"/>
      <c r="F30" s="460"/>
      <c r="G30" s="460"/>
    </row>
    <row r="31" spans="1:17" s="132" customFormat="1" ht="76.5" customHeight="1">
      <c r="A31" s="141"/>
      <c r="B31" s="160" t="s">
        <v>165</v>
      </c>
      <c r="D31" s="223"/>
      <c r="E31" s="223"/>
      <c r="F31" s="223"/>
      <c r="G31" s="223"/>
      <c r="H31" s="136"/>
      <c r="I31" s="137"/>
      <c r="J31" s="138"/>
      <c r="K31" s="136"/>
      <c r="L31" s="160"/>
      <c r="M31" s="139"/>
      <c r="N31" s="139"/>
      <c r="O31" s="139"/>
      <c r="P31" s="136"/>
      <c r="Q31" s="135"/>
    </row>
    <row r="32" spans="1:17" s="132" customFormat="1">
      <c r="A32" s="141"/>
      <c r="B32" s="160"/>
      <c r="D32" s="223"/>
      <c r="E32" s="223"/>
      <c r="F32" s="223"/>
      <c r="G32" s="223"/>
      <c r="H32" s="136"/>
      <c r="I32" s="137"/>
      <c r="J32" s="138"/>
      <c r="K32" s="136"/>
      <c r="L32" s="160"/>
      <c r="M32" s="139"/>
      <c r="N32" s="139"/>
      <c r="O32" s="139"/>
      <c r="P32" s="136"/>
      <c r="Q32" s="135"/>
    </row>
    <row r="33" spans="1:17" s="132" customFormat="1">
      <c r="A33" s="141"/>
      <c r="B33" s="161"/>
      <c r="D33" s="223"/>
      <c r="E33" s="223"/>
      <c r="F33" s="223"/>
      <c r="G33" s="223"/>
      <c r="H33" s="136"/>
      <c r="I33" s="137"/>
      <c r="J33" s="138"/>
      <c r="K33" s="136"/>
      <c r="L33" s="160"/>
      <c r="M33" s="139"/>
      <c r="N33" s="139"/>
      <c r="O33" s="139"/>
      <c r="P33" s="136"/>
      <c r="Q33" s="135"/>
    </row>
    <row r="34" spans="1:17" s="132" customFormat="1">
      <c r="A34" s="141"/>
      <c r="B34" s="160"/>
      <c r="D34" s="223"/>
      <c r="E34" s="223"/>
      <c r="F34" s="223"/>
      <c r="G34" s="223"/>
      <c r="H34" s="136"/>
      <c r="I34" s="137"/>
      <c r="J34" s="138"/>
      <c r="K34" s="136"/>
      <c r="L34" s="160"/>
      <c r="M34" s="139"/>
      <c r="N34" s="139"/>
      <c r="O34" s="139"/>
      <c r="P34" s="136"/>
      <c r="Q34" s="135"/>
    </row>
    <row r="35" spans="1:17" s="132" customFormat="1">
      <c r="A35" s="141"/>
      <c r="B35" s="160"/>
      <c r="D35" s="223"/>
      <c r="E35" s="223"/>
      <c r="F35" s="223"/>
      <c r="G35" s="223"/>
      <c r="H35" s="136"/>
      <c r="I35" s="137"/>
      <c r="J35" s="138"/>
      <c r="K35" s="136"/>
      <c r="L35" s="160"/>
      <c r="M35" s="139"/>
      <c r="N35" s="139"/>
      <c r="O35" s="139"/>
      <c r="P35" s="136"/>
      <c r="Q35" s="135"/>
    </row>
    <row r="36" spans="1:17" s="132" customFormat="1">
      <c r="A36" s="141"/>
      <c r="B36" s="160"/>
      <c r="D36" s="221"/>
      <c r="E36" s="221"/>
      <c r="F36" s="221"/>
      <c r="G36" s="221"/>
      <c r="H36" s="136"/>
      <c r="I36" s="137"/>
      <c r="J36" s="138"/>
      <c r="K36" s="136"/>
      <c r="L36" s="160"/>
      <c r="M36" s="139"/>
      <c r="N36" s="139"/>
      <c r="O36" s="139"/>
      <c r="P36" s="136"/>
      <c r="Q36" s="135"/>
    </row>
    <row r="37" spans="1:17" s="132" customFormat="1">
      <c r="A37" s="141"/>
      <c r="B37" s="160"/>
      <c r="D37" s="221"/>
      <c r="E37" s="221"/>
      <c r="F37" s="221"/>
      <c r="G37" s="221"/>
      <c r="H37" s="136"/>
      <c r="I37" s="137"/>
      <c r="J37" s="138"/>
      <c r="K37" s="136"/>
      <c r="L37" s="160"/>
      <c r="M37" s="139"/>
      <c r="N37" s="139"/>
      <c r="O37" s="139"/>
      <c r="P37" s="136"/>
      <c r="Q37" s="135"/>
    </row>
    <row r="38" spans="1:17" s="38" customFormat="1">
      <c r="A38" s="43"/>
      <c r="B38" s="53" t="s">
        <v>166</v>
      </c>
      <c r="C38" s="41"/>
      <c r="D38" s="41"/>
      <c r="E38" s="107"/>
      <c r="F38" s="41"/>
      <c r="G38" s="97"/>
      <c r="I38" s="36"/>
      <c r="J38" s="37"/>
      <c r="M38" s="39"/>
      <c r="N38" s="39"/>
      <c r="O38" s="39"/>
      <c r="Q38" s="82"/>
    </row>
    <row r="39" spans="1:17" s="7" customFormat="1">
      <c r="A39" s="141"/>
      <c r="B39" s="162"/>
      <c r="C39" s="163"/>
      <c r="D39" s="163"/>
      <c r="E39" s="164"/>
      <c r="F39" s="163"/>
      <c r="G39" s="165"/>
      <c r="H39" s="136"/>
      <c r="I39" s="26"/>
      <c r="J39" s="22"/>
      <c r="M39" s="30"/>
      <c r="N39" s="30"/>
      <c r="O39" s="30"/>
      <c r="Q39" s="166"/>
    </row>
    <row r="40" spans="1:17" s="7" customFormat="1">
      <c r="A40" s="11" t="s">
        <v>27</v>
      </c>
      <c r="B40" s="9" t="s">
        <v>26</v>
      </c>
      <c r="C40" s="46"/>
      <c r="E40" s="109"/>
      <c r="G40" s="99"/>
      <c r="I40" s="26"/>
      <c r="J40" s="22"/>
      <c r="M40" s="30"/>
      <c r="N40" s="30"/>
      <c r="O40" s="30"/>
      <c r="Q40" s="91"/>
    </row>
    <row r="41" spans="1:17" s="7" customFormat="1">
      <c r="A41" s="8"/>
      <c r="B41" s="9"/>
      <c r="C41" s="202" t="s">
        <v>170</v>
      </c>
      <c r="D41" s="205"/>
      <c r="E41" s="206" t="s">
        <v>171</v>
      </c>
      <c r="F41" s="203"/>
      <c r="G41" s="204" t="s">
        <v>164</v>
      </c>
      <c r="I41" s="26"/>
      <c r="J41" s="22"/>
      <c r="M41" s="30"/>
      <c r="N41" s="30"/>
      <c r="O41" s="30"/>
      <c r="Q41" s="91"/>
    </row>
    <row r="42" spans="1:17" s="17" customFormat="1" ht="51.75">
      <c r="A42" s="12" t="s">
        <v>28</v>
      </c>
      <c r="B42" s="13" t="s">
        <v>146</v>
      </c>
      <c r="C42" s="46"/>
      <c r="D42" s="7"/>
      <c r="E42" s="109"/>
      <c r="F42" s="7"/>
      <c r="G42" s="99"/>
      <c r="H42" s="7"/>
      <c r="I42" s="27"/>
      <c r="J42" s="23"/>
      <c r="M42" s="31"/>
      <c r="N42" s="31"/>
      <c r="O42" s="31"/>
      <c r="Q42" s="91"/>
    </row>
    <row r="43" spans="1:17" s="7" customFormat="1">
      <c r="A43" s="18"/>
      <c r="B43" s="13"/>
      <c r="C43" s="57"/>
      <c r="D43" s="17"/>
      <c r="E43" s="113"/>
      <c r="F43" s="17"/>
      <c r="G43" s="102"/>
      <c r="H43" s="17"/>
      <c r="I43" s="26"/>
      <c r="J43" s="22"/>
      <c r="M43" s="30"/>
      <c r="N43" s="30"/>
      <c r="O43" s="30"/>
      <c r="Q43" s="92"/>
    </row>
    <row r="44" spans="1:17" s="7" customFormat="1">
      <c r="A44" s="8"/>
      <c r="B44" s="167" t="s">
        <v>22</v>
      </c>
      <c r="C44" s="219">
        <v>627.5</v>
      </c>
      <c r="D44" s="132"/>
      <c r="E44" s="244"/>
      <c r="F44" s="168"/>
      <c r="G44" s="220"/>
      <c r="H44" s="168"/>
      <c r="I44" s="26"/>
      <c r="J44" s="22"/>
      <c r="M44" s="30"/>
      <c r="N44" s="30"/>
      <c r="O44" s="30"/>
      <c r="Q44" s="135"/>
    </row>
    <row r="45" spans="1:17" s="7" customFormat="1">
      <c r="A45" s="8"/>
      <c r="B45" s="14"/>
      <c r="C45" s="46"/>
      <c r="E45" s="245"/>
      <c r="G45" s="99"/>
      <c r="I45" s="26"/>
      <c r="J45" s="22"/>
      <c r="M45" s="30"/>
      <c r="N45" s="30"/>
      <c r="O45" s="30"/>
      <c r="Q45" s="91"/>
    </row>
    <row r="46" spans="1:17" s="19" customFormat="1" ht="51">
      <c r="A46" s="12" t="s">
        <v>30</v>
      </c>
      <c r="B46" s="167" t="s">
        <v>147</v>
      </c>
      <c r="C46" s="46"/>
      <c r="D46" s="7"/>
      <c r="E46" s="245"/>
      <c r="F46" s="7"/>
      <c r="G46" s="99"/>
      <c r="H46" s="7"/>
      <c r="I46" s="28"/>
      <c r="J46" s="24"/>
      <c r="M46" s="32"/>
      <c r="N46" s="32"/>
      <c r="O46" s="32"/>
      <c r="Q46" s="91"/>
    </row>
    <row r="47" spans="1:17" s="7" customFormat="1">
      <c r="A47" s="20"/>
      <c r="B47" s="167"/>
      <c r="C47" s="58"/>
      <c r="D47" s="19"/>
      <c r="E47" s="245"/>
      <c r="F47" s="19"/>
      <c r="G47" s="103"/>
      <c r="H47" s="19"/>
      <c r="I47" s="26"/>
      <c r="J47" s="22"/>
      <c r="M47" s="30"/>
      <c r="N47" s="30"/>
      <c r="O47" s="30"/>
      <c r="Q47" s="93"/>
    </row>
    <row r="48" spans="1:17" s="7" customFormat="1">
      <c r="A48" s="8"/>
      <c r="B48" s="167" t="s">
        <v>55</v>
      </c>
      <c r="C48" s="219">
        <v>1</v>
      </c>
      <c r="D48" s="132"/>
      <c r="E48" s="246"/>
      <c r="F48" s="168"/>
      <c r="G48" s="220"/>
      <c r="H48" s="168"/>
      <c r="I48" s="26"/>
      <c r="J48" s="22"/>
      <c r="M48" s="30"/>
      <c r="N48" s="30"/>
      <c r="O48" s="30"/>
      <c r="Q48" s="135"/>
    </row>
    <row r="49" spans="1:17" s="7" customFormat="1">
      <c r="A49" s="8"/>
      <c r="B49" s="167"/>
      <c r="C49" s="132"/>
      <c r="D49" s="132"/>
      <c r="E49" s="245"/>
      <c r="F49" s="132"/>
      <c r="G49" s="134"/>
      <c r="H49" s="132"/>
      <c r="I49" s="26"/>
      <c r="J49" s="22"/>
      <c r="M49" s="30"/>
      <c r="N49" s="30"/>
      <c r="O49" s="30"/>
      <c r="Q49" s="135"/>
    </row>
    <row r="50" spans="1:17" s="19" customFormat="1" ht="51">
      <c r="A50" s="12" t="s">
        <v>56</v>
      </c>
      <c r="B50" s="167" t="s">
        <v>68</v>
      </c>
      <c r="C50" s="132"/>
      <c r="D50" s="132"/>
      <c r="E50" s="245"/>
      <c r="F50" s="132"/>
      <c r="G50" s="134"/>
      <c r="H50" s="7"/>
      <c r="I50" s="28"/>
      <c r="J50" s="24"/>
      <c r="M50" s="32"/>
      <c r="N50" s="32"/>
      <c r="O50" s="32"/>
      <c r="Q50" s="135"/>
    </row>
    <row r="51" spans="1:17" s="7" customFormat="1">
      <c r="A51" s="20"/>
      <c r="B51" s="167"/>
      <c r="C51" s="169"/>
      <c r="D51" s="169"/>
      <c r="E51" s="245"/>
      <c r="F51" s="169"/>
      <c r="G51" s="170"/>
      <c r="H51" s="19"/>
      <c r="I51" s="26"/>
      <c r="J51" s="22"/>
      <c r="M51" s="30"/>
      <c r="N51" s="30"/>
      <c r="O51" s="30"/>
      <c r="Q51" s="171"/>
    </row>
    <row r="52" spans="1:17" s="7" customFormat="1">
      <c r="A52" s="8"/>
      <c r="B52" s="167" t="s">
        <v>23</v>
      </c>
      <c r="C52" s="219">
        <f>INT(C44/20)+1</f>
        <v>32</v>
      </c>
      <c r="D52" s="132"/>
      <c r="E52" s="246"/>
      <c r="F52" s="168"/>
      <c r="G52" s="220"/>
      <c r="H52" s="168"/>
      <c r="I52" s="26"/>
      <c r="J52" s="22"/>
      <c r="M52" s="30"/>
      <c r="N52" s="30"/>
      <c r="O52" s="30"/>
      <c r="Q52" s="135"/>
    </row>
    <row r="53" spans="1:17" s="7" customFormat="1">
      <c r="A53" s="8"/>
      <c r="B53" s="167"/>
      <c r="C53" s="132"/>
      <c r="D53" s="132"/>
      <c r="E53" s="245"/>
      <c r="F53" s="132"/>
      <c r="G53" s="134"/>
      <c r="H53" s="132"/>
      <c r="I53" s="26"/>
      <c r="J53" s="22"/>
      <c r="M53" s="30"/>
      <c r="N53" s="30"/>
      <c r="O53" s="30"/>
      <c r="Q53" s="135"/>
    </row>
    <row r="54" spans="1:17" s="7" customFormat="1" ht="38.25">
      <c r="A54" s="12" t="s">
        <v>5</v>
      </c>
      <c r="B54" s="167" t="s">
        <v>6</v>
      </c>
      <c r="C54" s="132"/>
      <c r="D54" s="132"/>
      <c r="E54" s="245"/>
      <c r="F54" s="132"/>
      <c r="G54" s="134"/>
      <c r="I54" s="26"/>
      <c r="J54" s="22"/>
      <c r="M54" s="30"/>
      <c r="N54" s="30"/>
      <c r="O54" s="30"/>
      <c r="Q54" s="135"/>
    </row>
    <row r="55" spans="1:17" s="7" customFormat="1">
      <c r="A55" s="20"/>
      <c r="B55" s="167"/>
      <c r="C55" s="169"/>
      <c r="D55" s="169"/>
      <c r="E55" s="247"/>
      <c r="F55" s="169"/>
      <c r="G55" s="170"/>
      <c r="H55" s="19"/>
      <c r="I55" s="26"/>
      <c r="J55" s="22"/>
      <c r="M55" s="30"/>
      <c r="N55" s="30"/>
      <c r="O55" s="30"/>
      <c r="Q55" s="171"/>
    </row>
    <row r="56" spans="1:17" s="7" customFormat="1">
      <c r="A56" s="8"/>
      <c r="B56" s="167" t="s">
        <v>29</v>
      </c>
      <c r="C56" s="219">
        <v>1</v>
      </c>
      <c r="D56" s="132"/>
      <c r="E56" s="246"/>
      <c r="F56" s="168"/>
      <c r="G56" s="220"/>
      <c r="H56" s="168"/>
      <c r="I56" s="26"/>
      <c r="J56" s="22"/>
      <c r="M56" s="30"/>
      <c r="N56" s="30"/>
      <c r="O56" s="30"/>
      <c r="Q56" s="135"/>
    </row>
    <row r="57" spans="1:17" s="7" customFormat="1">
      <c r="A57" s="8"/>
      <c r="B57" s="167"/>
      <c r="C57" s="132"/>
      <c r="D57" s="132"/>
      <c r="E57" s="245"/>
      <c r="F57" s="132"/>
      <c r="G57" s="134"/>
      <c r="H57" s="132"/>
      <c r="I57" s="26"/>
      <c r="J57" s="22"/>
      <c r="M57" s="30"/>
      <c r="N57" s="30"/>
      <c r="O57" s="30"/>
      <c r="Q57" s="135"/>
    </row>
    <row r="58" spans="1:17" s="19" customFormat="1" ht="25.5">
      <c r="A58" s="12" t="s">
        <v>75</v>
      </c>
      <c r="B58" s="167" t="s">
        <v>148</v>
      </c>
      <c r="C58" s="132"/>
      <c r="D58" s="132"/>
      <c r="E58" s="245"/>
      <c r="F58" s="132"/>
      <c r="G58" s="134"/>
      <c r="H58" s="7"/>
      <c r="I58" s="28"/>
      <c r="J58" s="24"/>
      <c r="M58" s="32"/>
      <c r="N58" s="32"/>
      <c r="O58" s="32"/>
      <c r="Q58" s="135"/>
    </row>
    <row r="59" spans="1:17" s="7" customFormat="1">
      <c r="A59" s="20"/>
      <c r="B59" s="167"/>
      <c r="C59" s="169"/>
      <c r="D59" s="169"/>
      <c r="E59" s="247"/>
      <c r="F59" s="169"/>
      <c r="G59" s="170"/>
      <c r="H59" s="19"/>
      <c r="I59" s="26"/>
      <c r="J59" s="22"/>
      <c r="M59" s="30"/>
      <c r="N59" s="30"/>
      <c r="O59" s="30"/>
      <c r="Q59" s="171"/>
    </row>
    <row r="60" spans="1:17" s="7" customFormat="1">
      <c r="A60" s="8"/>
      <c r="B60" s="167" t="s">
        <v>23</v>
      </c>
      <c r="C60" s="219">
        <v>1</v>
      </c>
      <c r="D60" s="132"/>
      <c r="E60" s="246"/>
      <c r="F60" s="168"/>
      <c r="G60" s="220"/>
      <c r="H60" s="168"/>
      <c r="I60" s="26"/>
      <c r="J60" s="22"/>
      <c r="M60" s="30"/>
      <c r="N60" s="30"/>
      <c r="O60" s="30"/>
      <c r="Q60" s="135"/>
    </row>
    <row r="61" spans="1:17" s="7" customFormat="1">
      <c r="A61" s="8"/>
      <c r="B61" s="167"/>
      <c r="C61" s="132"/>
      <c r="D61" s="132"/>
      <c r="E61" s="245"/>
      <c r="F61" s="132"/>
      <c r="G61" s="134"/>
      <c r="H61" s="132"/>
      <c r="I61" s="26"/>
      <c r="J61" s="22"/>
      <c r="M61" s="30"/>
      <c r="N61" s="30"/>
      <c r="O61" s="30"/>
      <c r="Q61" s="135"/>
    </row>
    <row r="62" spans="1:17" s="7" customFormat="1" ht="56.25" customHeight="1">
      <c r="A62" s="12" t="s">
        <v>54</v>
      </c>
      <c r="B62" s="167" t="s">
        <v>232</v>
      </c>
      <c r="C62" s="132"/>
      <c r="D62" s="132"/>
      <c r="E62" s="245"/>
      <c r="F62" s="132"/>
      <c r="G62" s="134"/>
      <c r="I62" s="26"/>
      <c r="J62" s="22"/>
      <c r="M62" s="30"/>
      <c r="N62" s="30"/>
      <c r="O62" s="30"/>
      <c r="Q62" s="135"/>
    </row>
    <row r="63" spans="1:17" s="7" customFormat="1" ht="38.25">
      <c r="A63" s="8"/>
      <c r="B63" s="52" t="s">
        <v>116</v>
      </c>
      <c r="C63" s="214">
        <v>1</v>
      </c>
      <c r="D63" s="41"/>
      <c r="E63" s="232"/>
      <c r="F63" s="81"/>
      <c r="G63" s="213"/>
      <c r="H63" s="81"/>
      <c r="I63" s="26"/>
      <c r="J63" s="22"/>
      <c r="M63" s="30"/>
      <c r="N63" s="30"/>
      <c r="O63" s="30"/>
      <c r="Q63" s="82"/>
    </row>
    <row r="64" spans="1:17" s="7" customFormat="1" ht="15.95" customHeight="1">
      <c r="A64" s="8"/>
      <c r="B64" s="167"/>
      <c r="C64" s="132"/>
      <c r="D64" s="132"/>
      <c r="E64" s="245"/>
      <c r="F64" s="132"/>
      <c r="G64" s="134"/>
      <c r="I64" s="26"/>
      <c r="J64" s="22"/>
      <c r="M64" s="30"/>
      <c r="N64" s="30"/>
      <c r="O64" s="30"/>
      <c r="Q64" s="135"/>
    </row>
    <row r="65" spans="1:17" s="7" customFormat="1" ht="15.95" customHeight="1">
      <c r="A65" s="12" t="s">
        <v>61</v>
      </c>
      <c r="B65" s="167" t="s">
        <v>62</v>
      </c>
      <c r="C65" s="132"/>
      <c r="D65" s="132"/>
      <c r="E65" s="245"/>
      <c r="F65" s="132"/>
      <c r="G65" s="134"/>
      <c r="I65" s="26"/>
      <c r="J65" s="22"/>
      <c r="M65" s="30"/>
      <c r="N65" s="30"/>
      <c r="O65" s="30"/>
      <c r="Q65" s="135"/>
    </row>
    <row r="66" spans="1:17" s="7" customFormat="1" ht="15.95" customHeight="1">
      <c r="A66" s="20"/>
      <c r="B66" s="167"/>
      <c r="C66" s="169"/>
      <c r="D66" s="169"/>
      <c r="E66" s="247"/>
      <c r="F66" s="169"/>
      <c r="G66" s="170"/>
      <c r="H66" s="19"/>
      <c r="I66" s="26"/>
      <c r="J66" s="22"/>
      <c r="M66" s="30"/>
      <c r="N66" s="30"/>
      <c r="O66" s="30"/>
      <c r="Q66" s="171"/>
    </row>
    <row r="67" spans="1:17" s="7" customFormat="1" ht="15.95" customHeight="1">
      <c r="A67" s="8"/>
      <c r="B67" s="167" t="s">
        <v>41</v>
      </c>
      <c r="C67" s="219">
        <v>3.5</v>
      </c>
      <c r="D67" s="132"/>
      <c r="E67" s="246"/>
      <c r="F67" s="168"/>
      <c r="G67" s="220"/>
      <c r="H67" s="168"/>
      <c r="I67" s="26"/>
      <c r="J67" s="22"/>
      <c r="M67" s="30"/>
      <c r="N67" s="30"/>
      <c r="O67" s="30"/>
      <c r="Q67" s="135"/>
    </row>
    <row r="68" spans="1:17" s="7" customFormat="1" ht="15.95" customHeight="1">
      <c r="A68" s="8"/>
      <c r="B68" s="167"/>
      <c r="C68" s="132"/>
      <c r="D68" s="132"/>
      <c r="E68" s="245"/>
      <c r="F68" s="132"/>
      <c r="G68" s="134"/>
      <c r="H68" s="132"/>
      <c r="I68" s="26"/>
      <c r="J68" s="22"/>
      <c r="M68" s="30"/>
      <c r="N68" s="30"/>
      <c r="O68" s="30"/>
      <c r="Q68" s="135"/>
    </row>
    <row r="69" spans="1:17" s="7" customFormat="1" ht="27.75" customHeight="1">
      <c r="A69" s="12" t="s">
        <v>73</v>
      </c>
      <c r="B69" s="167" t="s">
        <v>149</v>
      </c>
      <c r="C69" s="132"/>
      <c r="D69" s="132"/>
      <c r="E69" s="245"/>
      <c r="F69" s="132"/>
      <c r="G69" s="134"/>
      <c r="I69" s="26"/>
      <c r="J69" s="22"/>
      <c r="M69" s="30"/>
      <c r="N69" s="30"/>
      <c r="O69" s="30"/>
      <c r="Q69" s="135"/>
    </row>
    <row r="70" spans="1:17" s="7" customFormat="1" ht="15.95" customHeight="1">
      <c r="A70" s="20"/>
      <c r="B70" s="167"/>
      <c r="C70" s="169"/>
      <c r="D70" s="169"/>
      <c r="E70" s="247"/>
      <c r="F70" s="169"/>
      <c r="G70" s="170"/>
      <c r="H70" s="19"/>
      <c r="I70" s="26"/>
      <c r="J70" s="22"/>
      <c r="M70" s="30"/>
      <c r="N70" s="30"/>
      <c r="O70" s="30"/>
      <c r="Q70" s="171"/>
    </row>
    <row r="71" spans="1:17" s="7" customFormat="1" ht="15.95" customHeight="1">
      <c r="A71" s="8"/>
      <c r="B71" s="167" t="s">
        <v>23</v>
      </c>
      <c r="C71" s="219">
        <v>1</v>
      </c>
      <c r="D71" s="132"/>
      <c r="E71" s="246"/>
      <c r="F71" s="168"/>
      <c r="G71" s="220"/>
      <c r="H71" s="168"/>
      <c r="I71" s="26"/>
      <c r="J71" s="22"/>
      <c r="M71" s="30"/>
      <c r="N71" s="30"/>
      <c r="O71" s="30"/>
      <c r="Q71" s="135"/>
    </row>
    <row r="72" spans="1:17" s="7" customFormat="1" ht="15.95" customHeight="1">
      <c r="A72" s="8"/>
      <c r="B72" s="167"/>
      <c r="C72" s="202" t="s">
        <v>170</v>
      </c>
      <c r="D72" s="205"/>
      <c r="E72" s="251" t="s">
        <v>171</v>
      </c>
      <c r="F72" s="203"/>
      <c r="G72" s="204" t="s">
        <v>164</v>
      </c>
      <c r="H72" s="132"/>
      <c r="I72" s="26"/>
      <c r="J72" s="22"/>
      <c r="M72" s="30"/>
      <c r="N72" s="30"/>
      <c r="O72" s="30"/>
      <c r="Q72" s="135"/>
    </row>
    <row r="73" spans="1:17" s="7" customFormat="1" ht="15.95" customHeight="1">
      <c r="A73" s="12" t="s">
        <v>74</v>
      </c>
      <c r="B73" s="167" t="s">
        <v>150</v>
      </c>
      <c r="C73" s="132"/>
      <c r="D73" s="132"/>
      <c r="E73" s="245"/>
      <c r="F73" s="132"/>
      <c r="G73" s="134"/>
      <c r="I73" s="26"/>
      <c r="J73" s="22"/>
      <c r="M73" s="30"/>
      <c r="N73" s="30"/>
      <c r="O73" s="30"/>
      <c r="Q73" s="135"/>
    </row>
    <row r="74" spans="1:17" s="7" customFormat="1" ht="15.95" customHeight="1">
      <c r="A74" s="20"/>
      <c r="B74" s="167"/>
      <c r="C74" s="169"/>
      <c r="D74" s="169"/>
      <c r="E74" s="247"/>
      <c r="F74" s="169"/>
      <c r="G74" s="170"/>
      <c r="H74" s="19"/>
      <c r="I74" s="26"/>
      <c r="J74" s="22"/>
      <c r="M74" s="30"/>
      <c r="N74" s="30"/>
      <c r="O74" s="30"/>
      <c r="Q74" s="171"/>
    </row>
    <row r="75" spans="1:17" s="7" customFormat="1" ht="15.95" customHeight="1">
      <c r="A75" s="8"/>
      <c r="B75" s="167" t="s">
        <v>23</v>
      </c>
      <c r="C75" s="219">
        <v>1</v>
      </c>
      <c r="D75" s="132"/>
      <c r="E75" s="246"/>
      <c r="F75" s="168"/>
      <c r="G75" s="220"/>
      <c r="H75" s="168"/>
      <c r="I75" s="26"/>
      <c r="J75" s="22"/>
      <c r="M75" s="30"/>
      <c r="N75" s="30"/>
      <c r="O75" s="30"/>
      <c r="Q75" s="135"/>
    </row>
    <row r="76" spans="1:17" s="7" customFormat="1" ht="15.95" customHeight="1">
      <c r="A76" s="8"/>
      <c r="B76" s="167"/>
      <c r="C76" s="132"/>
      <c r="D76" s="132"/>
      <c r="E76" s="245"/>
      <c r="F76" s="132"/>
      <c r="G76" s="134"/>
      <c r="I76" s="26"/>
      <c r="J76" s="22"/>
      <c r="M76" s="30"/>
      <c r="N76" s="30"/>
      <c r="O76" s="30"/>
      <c r="Q76" s="135"/>
    </row>
    <row r="77" spans="1:17" s="7" customFormat="1" ht="31.5">
      <c r="A77" s="11"/>
      <c r="B77" s="174" t="s">
        <v>43</v>
      </c>
      <c r="C77" s="149"/>
      <c r="D77" s="149"/>
      <c r="E77" s="248"/>
      <c r="F77" s="149"/>
      <c r="G77" s="211"/>
      <c r="H77" s="149"/>
      <c r="I77" s="118"/>
      <c r="J77" s="22"/>
      <c r="M77" s="30"/>
      <c r="N77" s="30"/>
      <c r="O77" s="30"/>
      <c r="Q77" s="152"/>
    </row>
    <row r="78" spans="1:17" s="7" customFormat="1">
      <c r="A78" s="11"/>
      <c r="B78" s="174"/>
      <c r="C78" s="149"/>
      <c r="D78" s="149"/>
      <c r="E78" s="248"/>
      <c r="F78" s="149"/>
      <c r="G78" s="151"/>
      <c r="H78" s="149"/>
      <c r="I78" s="26"/>
      <c r="J78" s="22"/>
      <c r="M78" s="30"/>
      <c r="N78" s="30"/>
      <c r="O78" s="30"/>
      <c r="Q78" s="152"/>
    </row>
    <row r="79" spans="1:17" s="7" customFormat="1">
      <c r="A79" s="11" t="s">
        <v>32</v>
      </c>
      <c r="B79" s="9" t="s">
        <v>17</v>
      </c>
      <c r="C79" s="46"/>
      <c r="E79" s="237"/>
      <c r="G79" s="99"/>
      <c r="I79" s="26"/>
      <c r="J79" s="22"/>
      <c r="M79" s="30"/>
      <c r="N79" s="30"/>
      <c r="O79" s="30"/>
      <c r="Q79" s="91"/>
    </row>
    <row r="80" spans="1:17" s="7" customFormat="1">
      <c r="A80" s="11"/>
      <c r="B80" s="9"/>
      <c r="C80" s="46"/>
      <c r="E80" s="237"/>
      <c r="G80" s="99"/>
      <c r="I80" s="26"/>
      <c r="J80" s="22"/>
      <c r="M80" s="30"/>
      <c r="N80" s="30"/>
      <c r="O80" s="30"/>
      <c r="Q80" s="91"/>
    </row>
    <row r="81" spans="1:17" s="178" customFormat="1" ht="25.5">
      <c r="A81" s="12" t="s">
        <v>33</v>
      </c>
      <c r="B81" s="167" t="s">
        <v>151</v>
      </c>
      <c r="C81" s="132"/>
      <c r="D81" s="132"/>
      <c r="E81" s="245"/>
      <c r="F81" s="132"/>
      <c r="G81" s="134"/>
      <c r="H81" s="175"/>
      <c r="I81" s="176"/>
      <c r="J81" s="177"/>
      <c r="M81" s="179"/>
      <c r="N81" s="179"/>
      <c r="O81" s="179"/>
      <c r="Q81" s="135"/>
    </row>
    <row r="82" spans="1:17">
      <c r="A82" s="18"/>
      <c r="B82" s="167"/>
      <c r="C82" s="169"/>
      <c r="D82" s="169"/>
      <c r="E82" s="247"/>
      <c r="F82" s="169"/>
      <c r="G82" s="170"/>
      <c r="H82" s="178"/>
      <c r="Q82" s="171"/>
    </row>
    <row r="83" spans="1:17">
      <c r="B83" s="167" t="s">
        <v>20</v>
      </c>
      <c r="C83" s="219">
        <v>141</v>
      </c>
      <c r="E83" s="244"/>
      <c r="F83" s="168"/>
      <c r="G83" s="220"/>
      <c r="H83" s="168"/>
    </row>
    <row r="84" spans="1:17">
      <c r="B84" s="167"/>
      <c r="E84" s="245"/>
      <c r="H84" s="175"/>
    </row>
    <row r="85" spans="1:17" ht="51">
      <c r="A85" s="141" t="s">
        <v>34</v>
      </c>
      <c r="B85" s="167" t="s">
        <v>152</v>
      </c>
      <c r="E85" s="245"/>
      <c r="H85" s="175"/>
    </row>
    <row r="86" spans="1:17">
      <c r="B86" s="167"/>
      <c r="E86" s="245"/>
      <c r="H86" s="175"/>
    </row>
    <row r="87" spans="1:17">
      <c r="B87" s="167" t="s">
        <v>25</v>
      </c>
      <c r="C87" s="132">
        <f>1.8/0.09</f>
        <v>20</v>
      </c>
      <c r="E87" s="246"/>
      <c r="F87" s="168"/>
      <c r="G87" s="220"/>
      <c r="H87" s="168"/>
    </row>
    <row r="88" spans="1:17">
      <c r="B88" s="167"/>
      <c r="E88" s="245"/>
      <c r="H88" s="175"/>
    </row>
    <row r="89" spans="1:17" ht="25.5">
      <c r="A89" s="141" t="s">
        <v>36</v>
      </c>
      <c r="B89" s="167" t="s">
        <v>154</v>
      </c>
      <c r="E89" s="245"/>
      <c r="H89" s="175"/>
    </row>
    <row r="90" spans="1:17">
      <c r="B90" s="167"/>
      <c r="E90" s="245"/>
      <c r="H90" s="175"/>
    </row>
    <row r="91" spans="1:17" ht="25.5">
      <c r="B91" s="167" t="s">
        <v>141</v>
      </c>
      <c r="E91" s="245"/>
      <c r="H91" s="175"/>
    </row>
    <row r="92" spans="1:17">
      <c r="B92" s="167" t="s">
        <v>20</v>
      </c>
      <c r="C92" s="219">
        <f>841.46*0.8</f>
        <v>673.16800000000012</v>
      </c>
      <c r="E92" s="244"/>
      <c r="F92" s="168"/>
      <c r="G92" s="220"/>
      <c r="H92" s="168"/>
    </row>
    <row r="93" spans="1:17">
      <c r="B93" s="167"/>
      <c r="E93" s="245"/>
      <c r="H93" s="132"/>
      <c r="J93" s="137"/>
    </row>
    <row r="94" spans="1:17">
      <c r="B94" s="167" t="s">
        <v>142</v>
      </c>
      <c r="E94" s="245"/>
      <c r="H94" s="175"/>
    </row>
    <row r="95" spans="1:17">
      <c r="B95" s="167" t="s">
        <v>20</v>
      </c>
      <c r="C95" s="219">
        <f>841.46*0.2</f>
        <v>168.29200000000003</v>
      </c>
      <c r="E95" s="246"/>
      <c r="F95" s="168"/>
      <c r="G95" s="220"/>
      <c r="H95" s="168"/>
    </row>
    <row r="96" spans="1:17">
      <c r="B96" s="167"/>
      <c r="E96" s="245"/>
      <c r="H96" s="175"/>
    </row>
    <row r="97" spans="1:17" ht="38.25">
      <c r="A97" s="141" t="s">
        <v>37</v>
      </c>
      <c r="B97" s="167" t="s">
        <v>155</v>
      </c>
      <c r="E97" s="245"/>
      <c r="H97" s="175"/>
    </row>
    <row r="98" spans="1:17">
      <c r="B98" s="167"/>
      <c r="E98" s="245"/>
      <c r="H98" s="175"/>
      <c r="K98" s="153"/>
    </row>
    <row r="99" spans="1:17" ht="25.5">
      <c r="B99" s="167" t="s">
        <v>141</v>
      </c>
      <c r="E99" s="245"/>
      <c r="H99" s="175"/>
    </row>
    <row r="100" spans="1:17">
      <c r="B100" s="167" t="s">
        <v>20</v>
      </c>
      <c r="C100" s="132">
        <f>4.3*0.8</f>
        <v>3.44</v>
      </c>
      <c r="E100" s="244"/>
      <c r="F100" s="168"/>
      <c r="G100" s="220"/>
      <c r="H100" s="168"/>
    </row>
    <row r="101" spans="1:17">
      <c r="B101" s="167"/>
      <c r="C101" s="173"/>
      <c r="E101" s="245"/>
      <c r="H101" s="132"/>
      <c r="J101" s="137"/>
    </row>
    <row r="102" spans="1:17">
      <c r="B102" s="167" t="s">
        <v>142</v>
      </c>
      <c r="E102" s="245"/>
      <c r="H102" s="175"/>
    </row>
    <row r="103" spans="1:17">
      <c r="B103" s="167" t="s">
        <v>20</v>
      </c>
      <c r="C103" s="132">
        <f>4.3*0.2</f>
        <v>0.86</v>
      </c>
      <c r="E103" s="244"/>
      <c r="F103" s="168"/>
      <c r="G103" s="220"/>
      <c r="H103" s="168"/>
    </row>
    <row r="104" spans="1:17" s="183" customFormat="1">
      <c r="A104" s="184"/>
      <c r="B104" s="185"/>
      <c r="C104" s="180"/>
      <c r="D104" s="180"/>
      <c r="E104" s="245"/>
      <c r="F104" s="180"/>
      <c r="G104" s="134"/>
      <c r="H104" s="181"/>
      <c r="Q104" s="182"/>
    </row>
    <row r="105" spans="1:17" s="178" customFormat="1" ht="38.25">
      <c r="A105" s="141" t="s">
        <v>45</v>
      </c>
      <c r="B105" s="167" t="s">
        <v>38</v>
      </c>
      <c r="C105" s="132"/>
      <c r="D105" s="132"/>
      <c r="E105" s="245"/>
      <c r="F105" s="132"/>
      <c r="G105" s="134"/>
      <c r="H105" s="175"/>
      <c r="I105" s="176"/>
      <c r="J105" s="177"/>
      <c r="M105" s="179"/>
      <c r="N105" s="179"/>
      <c r="O105" s="179"/>
      <c r="Q105" s="135"/>
    </row>
    <row r="106" spans="1:17">
      <c r="B106" s="167"/>
      <c r="C106" s="169"/>
      <c r="D106" s="169"/>
      <c r="E106" s="245"/>
      <c r="F106" s="169"/>
      <c r="G106" s="170"/>
      <c r="H106" s="178"/>
      <c r="Q106" s="171"/>
    </row>
    <row r="107" spans="1:17">
      <c r="B107" s="167" t="s">
        <v>25</v>
      </c>
      <c r="C107" s="219">
        <f>C44*0.6</f>
        <v>376.5</v>
      </c>
      <c r="E107" s="246"/>
      <c r="G107" s="220"/>
      <c r="H107" s="132"/>
    </row>
    <row r="108" spans="1:17">
      <c r="B108" s="167"/>
      <c r="C108" s="202" t="s">
        <v>170</v>
      </c>
      <c r="D108" s="205"/>
      <c r="E108" s="251" t="s">
        <v>171</v>
      </c>
      <c r="F108" s="203"/>
      <c r="G108" s="204" t="s">
        <v>164</v>
      </c>
      <c r="H108" s="175"/>
    </row>
    <row r="109" spans="1:17" s="178" customFormat="1" ht="114.75">
      <c r="A109" s="141" t="s">
        <v>46</v>
      </c>
      <c r="B109" s="52" t="s">
        <v>156</v>
      </c>
      <c r="C109" s="132"/>
      <c r="D109" s="132"/>
      <c r="E109" s="245"/>
      <c r="F109" s="132"/>
      <c r="G109" s="134"/>
      <c r="H109" s="175"/>
      <c r="I109" s="176"/>
      <c r="J109" s="177"/>
      <c r="M109" s="179"/>
      <c r="N109" s="179"/>
      <c r="O109" s="179"/>
      <c r="Q109" s="135"/>
    </row>
    <row r="110" spans="1:17">
      <c r="A110" s="186"/>
      <c r="B110" s="167"/>
      <c r="C110" s="169"/>
      <c r="D110" s="169"/>
      <c r="E110" s="245"/>
      <c r="F110" s="169"/>
      <c r="G110" s="170"/>
      <c r="H110" s="178"/>
      <c r="Q110" s="171"/>
    </row>
    <row r="111" spans="1:17">
      <c r="B111" s="167" t="s">
        <v>20</v>
      </c>
      <c r="C111" s="219">
        <v>48</v>
      </c>
      <c r="E111" s="246"/>
      <c r="G111" s="220"/>
      <c r="H111" s="132"/>
    </row>
    <row r="112" spans="1:17">
      <c r="B112" s="167"/>
      <c r="C112" s="227"/>
      <c r="D112" s="229"/>
      <c r="E112" s="234"/>
      <c r="F112" s="229"/>
      <c r="G112" s="228"/>
      <c r="H112" s="175"/>
    </row>
    <row r="113" spans="1:17" s="178" customFormat="1" ht="114.75">
      <c r="A113" s="141" t="s">
        <v>47</v>
      </c>
      <c r="B113" s="167" t="s">
        <v>157</v>
      </c>
      <c r="C113" s="132"/>
      <c r="D113" s="132"/>
      <c r="E113" s="245"/>
      <c r="F113" s="132"/>
      <c r="G113" s="134"/>
      <c r="H113" s="175"/>
      <c r="I113" s="176"/>
      <c r="J113" s="177"/>
      <c r="M113" s="179"/>
      <c r="N113" s="179"/>
      <c r="O113" s="179"/>
      <c r="Q113" s="135"/>
    </row>
    <row r="114" spans="1:17">
      <c r="A114" s="186"/>
      <c r="B114" s="167"/>
      <c r="C114" s="169"/>
      <c r="D114" s="169"/>
      <c r="E114" s="245"/>
      <c r="F114" s="169"/>
      <c r="G114" s="170"/>
      <c r="H114" s="178"/>
      <c r="Q114" s="171"/>
    </row>
    <row r="115" spans="1:17">
      <c r="B115" s="167" t="s">
        <v>20</v>
      </c>
      <c r="C115" s="219">
        <v>184.3</v>
      </c>
      <c r="E115" s="246"/>
      <c r="G115" s="220"/>
      <c r="H115" s="132"/>
    </row>
    <row r="116" spans="1:17">
      <c r="B116" s="167"/>
      <c r="E116" s="245"/>
      <c r="H116" s="175"/>
    </row>
    <row r="117" spans="1:17" ht="89.25">
      <c r="A117" s="141" t="s">
        <v>48</v>
      </c>
      <c r="B117" s="167" t="s">
        <v>158</v>
      </c>
      <c r="E117" s="245"/>
      <c r="H117" s="175"/>
    </row>
    <row r="118" spans="1:17">
      <c r="A118" s="186"/>
      <c r="B118" s="167"/>
      <c r="E118" s="245"/>
      <c r="H118" s="175"/>
    </row>
    <row r="119" spans="1:17">
      <c r="B119" s="167" t="s">
        <v>20</v>
      </c>
      <c r="C119" s="219">
        <f>601*0.04</f>
        <v>24.04</v>
      </c>
      <c r="E119" s="246"/>
      <c r="G119" s="220"/>
      <c r="H119" s="132"/>
    </row>
    <row r="120" spans="1:17">
      <c r="B120" s="167"/>
      <c r="E120" s="245"/>
      <c r="H120" s="175"/>
    </row>
    <row r="121" spans="1:17" s="178" customFormat="1" ht="25.5">
      <c r="A121" s="141" t="s">
        <v>49</v>
      </c>
      <c r="B121" s="167" t="s">
        <v>159</v>
      </c>
      <c r="C121" s="132"/>
      <c r="D121" s="132"/>
      <c r="E121" s="245"/>
      <c r="F121" s="132"/>
      <c r="G121" s="134"/>
      <c r="H121" s="175"/>
      <c r="Q121" s="135"/>
    </row>
    <row r="122" spans="1:17">
      <c r="A122" s="186"/>
      <c r="B122" s="167"/>
      <c r="C122" s="169"/>
      <c r="D122" s="169"/>
      <c r="E122" s="245"/>
      <c r="F122" s="169"/>
      <c r="G122" s="170"/>
      <c r="H122" s="178"/>
      <c r="I122" s="136"/>
      <c r="J122" s="136"/>
      <c r="M122" s="136"/>
      <c r="N122" s="136"/>
      <c r="O122" s="136"/>
      <c r="Q122" s="171"/>
    </row>
    <row r="123" spans="1:17">
      <c r="B123" s="167" t="s">
        <v>20</v>
      </c>
      <c r="C123" s="219">
        <f>601*0.96</f>
        <v>576.95999999999992</v>
      </c>
      <c r="E123" s="246"/>
      <c r="G123" s="220"/>
      <c r="H123" s="132"/>
      <c r="I123" s="136"/>
      <c r="J123" s="136"/>
      <c r="M123" s="136"/>
      <c r="N123" s="136"/>
      <c r="O123" s="136"/>
    </row>
    <row r="124" spans="1:17">
      <c r="B124" s="167"/>
      <c r="E124" s="245"/>
      <c r="H124" s="175"/>
      <c r="I124" s="136"/>
      <c r="J124" s="136"/>
      <c r="M124" s="136"/>
      <c r="N124" s="136"/>
      <c r="O124" s="136"/>
    </row>
    <row r="125" spans="1:17" ht="63.75">
      <c r="A125" s="141" t="s">
        <v>50</v>
      </c>
      <c r="B125" s="167" t="s">
        <v>160</v>
      </c>
      <c r="E125" s="245"/>
      <c r="H125" s="175"/>
    </row>
    <row r="126" spans="1:17">
      <c r="A126" s="186"/>
      <c r="B126" s="167"/>
      <c r="E126" s="245"/>
      <c r="H126" s="175"/>
    </row>
    <row r="127" spans="1:17">
      <c r="B127" s="167" t="s">
        <v>20</v>
      </c>
      <c r="C127" s="219">
        <v>8.5</v>
      </c>
      <c r="E127" s="246"/>
      <c r="G127" s="220"/>
      <c r="H127" s="132"/>
    </row>
    <row r="128" spans="1:17">
      <c r="B128" s="167"/>
      <c r="C128" s="202" t="s">
        <v>170</v>
      </c>
      <c r="D128" s="205"/>
      <c r="E128" s="251" t="s">
        <v>171</v>
      </c>
      <c r="F128" s="203"/>
      <c r="G128" s="204" t="s">
        <v>164</v>
      </c>
      <c r="H128" s="175"/>
    </row>
    <row r="129" spans="1:8" ht="340.5" customHeight="1">
      <c r="A129" s="141" t="s">
        <v>51</v>
      </c>
      <c r="B129" s="16" t="s">
        <v>93</v>
      </c>
      <c r="E129" s="245"/>
      <c r="H129" s="175"/>
    </row>
    <row r="130" spans="1:8">
      <c r="A130" s="186"/>
      <c r="B130" s="187"/>
      <c r="E130" s="245"/>
      <c r="H130" s="175"/>
    </row>
    <row r="131" spans="1:8">
      <c r="B131" s="167" t="s">
        <v>25</v>
      </c>
      <c r="C131" s="132">
        <f>C87</f>
        <v>20</v>
      </c>
      <c r="E131" s="244"/>
      <c r="G131" s="220"/>
      <c r="H131" s="132"/>
    </row>
    <row r="132" spans="1:8">
      <c r="B132" s="167"/>
      <c r="E132" s="245"/>
      <c r="H132" s="175"/>
    </row>
    <row r="133" spans="1:8" ht="51">
      <c r="A133" s="141" t="s">
        <v>57</v>
      </c>
      <c r="B133" s="167" t="s">
        <v>161</v>
      </c>
      <c r="E133" s="245"/>
      <c r="H133" s="175"/>
    </row>
    <row r="134" spans="1:8">
      <c r="B134" s="167"/>
      <c r="E134" s="245"/>
      <c r="H134" s="175"/>
    </row>
    <row r="135" spans="1:8">
      <c r="B135" s="167" t="s">
        <v>20</v>
      </c>
      <c r="C135" s="219">
        <f>(845.76-C123)*1.3</f>
        <v>349.44000000000011</v>
      </c>
      <c r="E135" s="246"/>
      <c r="G135" s="220"/>
      <c r="H135" s="132"/>
    </row>
    <row r="136" spans="1:8">
      <c r="B136" s="167"/>
      <c r="E136" s="245"/>
      <c r="H136" s="175"/>
    </row>
    <row r="137" spans="1:8" ht="51">
      <c r="A137" s="141" t="s">
        <v>58</v>
      </c>
      <c r="B137" s="167" t="s">
        <v>162</v>
      </c>
      <c r="E137" s="245"/>
      <c r="H137" s="175"/>
    </row>
    <row r="138" spans="1:8">
      <c r="B138" s="167"/>
      <c r="E138" s="245"/>
      <c r="H138" s="175"/>
    </row>
    <row r="139" spans="1:8">
      <c r="B139" s="167" t="s">
        <v>25</v>
      </c>
      <c r="C139" s="219">
        <f>C83/0.15</f>
        <v>940</v>
      </c>
      <c r="E139" s="246"/>
      <c r="G139" s="220"/>
      <c r="H139" s="132"/>
    </row>
    <row r="140" spans="1:8">
      <c r="B140" s="167"/>
      <c r="E140" s="245"/>
      <c r="H140" s="175"/>
    </row>
    <row r="141" spans="1:8" ht="25.5">
      <c r="A141" s="141" t="s">
        <v>64</v>
      </c>
      <c r="B141" s="167" t="s">
        <v>163</v>
      </c>
      <c r="E141" s="245"/>
      <c r="H141" s="175"/>
    </row>
    <row r="142" spans="1:8">
      <c r="B142" s="167"/>
      <c r="E142" s="245"/>
      <c r="H142" s="175"/>
    </row>
    <row r="143" spans="1:8">
      <c r="B143" s="167" t="s">
        <v>41</v>
      </c>
      <c r="C143" s="219">
        <v>7</v>
      </c>
      <c r="E143" s="246"/>
      <c r="G143" s="220"/>
      <c r="H143" s="132"/>
    </row>
    <row r="144" spans="1:8">
      <c r="B144" s="167"/>
      <c r="C144" s="202" t="s">
        <v>170</v>
      </c>
      <c r="D144" s="205"/>
      <c r="E144" s="206" t="s">
        <v>171</v>
      </c>
      <c r="F144" s="203"/>
      <c r="G144" s="204" t="s">
        <v>164</v>
      </c>
      <c r="H144" s="175"/>
    </row>
    <row r="145" spans="1:17" s="178" customFormat="1" ht="63.75">
      <c r="A145" s="141" t="s">
        <v>65</v>
      </c>
      <c r="B145" s="167" t="s">
        <v>7</v>
      </c>
      <c r="C145" s="132"/>
      <c r="D145" s="132"/>
      <c r="E145" s="133"/>
      <c r="F145" s="132"/>
      <c r="G145" s="134"/>
      <c r="H145" s="175"/>
      <c r="I145" s="176"/>
      <c r="J145" s="177"/>
      <c r="M145" s="179"/>
      <c r="N145" s="179"/>
      <c r="O145" s="179"/>
      <c r="Q145" s="135"/>
    </row>
    <row r="146" spans="1:17">
      <c r="B146" s="167"/>
      <c r="C146" s="169"/>
      <c r="D146" s="169"/>
      <c r="E146" s="172"/>
      <c r="F146" s="169"/>
      <c r="G146" s="170"/>
      <c r="H146" s="178"/>
      <c r="Q146" s="171"/>
    </row>
    <row r="147" spans="1:17">
      <c r="B147" s="167" t="s">
        <v>39</v>
      </c>
      <c r="G147" s="220"/>
      <c r="H147" s="132"/>
    </row>
    <row r="148" spans="1:17">
      <c r="B148" s="167"/>
      <c r="H148" s="175"/>
    </row>
    <row r="149" spans="1:17" s="7" customFormat="1">
      <c r="A149" s="141"/>
      <c r="B149" s="174" t="s">
        <v>21</v>
      </c>
      <c r="C149" s="163"/>
      <c r="D149" s="163"/>
      <c r="E149" s="164"/>
      <c r="F149" s="163"/>
      <c r="G149" s="211"/>
      <c r="H149" s="149"/>
      <c r="I149" s="26"/>
      <c r="J149" s="22"/>
      <c r="M149" s="30"/>
      <c r="N149" s="30"/>
      <c r="O149" s="30"/>
      <c r="Q149" s="166"/>
    </row>
    <row r="150" spans="1:17">
      <c r="B150" s="167"/>
      <c r="H150" s="175"/>
    </row>
    <row r="151" spans="1:17">
      <c r="B151" s="167"/>
      <c r="C151" s="173"/>
      <c r="H151" s="132"/>
      <c r="Q151" s="188"/>
    </row>
    <row r="152" spans="1:17">
      <c r="B152" s="167"/>
      <c r="C152" s="173"/>
      <c r="H152" s="132"/>
    </row>
    <row r="153" spans="1:17">
      <c r="B153" s="189"/>
      <c r="H153" s="175"/>
    </row>
    <row r="154" spans="1:17">
      <c r="B154" s="167"/>
      <c r="H154" s="175"/>
    </row>
    <row r="155" spans="1:17">
      <c r="B155" s="167"/>
      <c r="C155" s="173"/>
      <c r="H155" s="132"/>
    </row>
    <row r="156" spans="1:17">
      <c r="B156" s="167"/>
      <c r="H156" s="132"/>
    </row>
    <row r="157" spans="1:17">
      <c r="B157" s="167"/>
      <c r="H157" s="132"/>
    </row>
    <row r="158" spans="1:17" ht="94.5" customHeight="1">
      <c r="B158" s="189"/>
      <c r="H158" s="175"/>
      <c r="K158" s="10"/>
      <c r="M158" s="189"/>
    </row>
    <row r="159" spans="1:17">
      <c r="B159" s="167"/>
      <c r="H159" s="175"/>
      <c r="K159" s="153"/>
      <c r="L159" s="153"/>
    </row>
    <row r="160" spans="1:17">
      <c r="B160" s="167"/>
      <c r="C160" s="173"/>
      <c r="H160" s="132"/>
    </row>
    <row r="161" spans="1:17">
      <c r="B161" s="167"/>
      <c r="C161" s="173"/>
      <c r="H161" s="132"/>
    </row>
    <row r="162" spans="1:17" ht="111" customHeight="1">
      <c r="B162" s="189"/>
      <c r="H162" s="175"/>
      <c r="K162" s="10"/>
      <c r="M162" s="189"/>
    </row>
    <row r="163" spans="1:17">
      <c r="B163" s="167"/>
      <c r="H163" s="175"/>
    </row>
    <row r="164" spans="1:17">
      <c r="B164" s="167"/>
      <c r="C164" s="173"/>
      <c r="E164" s="135"/>
      <c r="H164" s="132"/>
    </row>
    <row r="165" spans="1:17">
      <c r="B165" s="167"/>
      <c r="C165" s="173"/>
      <c r="H165" s="132"/>
    </row>
    <row r="166" spans="1:17">
      <c r="B166" s="189"/>
      <c r="H166" s="175"/>
      <c r="K166" s="10"/>
    </row>
    <row r="167" spans="1:17">
      <c r="B167" s="167"/>
      <c r="H167" s="175"/>
    </row>
    <row r="168" spans="1:17">
      <c r="B168" s="167"/>
      <c r="C168" s="173"/>
      <c r="E168" s="135"/>
      <c r="H168" s="132"/>
    </row>
    <row r="169" spans="1:17">
      <c r="B169" s="167"/>
      <c r="C169" s="173"/>
      <c r="H169" s="132"/>
    </row>
    <row r="170" spans="1:17">
      <c r="B170" s="189"/>
      <c r="H170" s="175"/>
      <c r="K170" s="10"/>
      <c r="M170" s="189"/>
    </row>
    <row r="171" spans="1:17">
      <c r="B171" s="167"/>
      <c r="H171" s="175"/>
    </row>
    <row r="172" spans="1:17">
      <c r="B172" s="167"/>
      <c r="C172" s="173"/>
      <c r="E172" s="135"/>
      <c r="H172" s="132"/>
    </row>
    <row r="173" spans="1:17">
      <c r="A173" s="11"/>
      <c r="B173" s="9"/>
      <c r="C173" s="46"/>
      <c r="D173" s="7"/>
      <c r="F173" s="7"/>
      <c r="G173" s="99"/>
      <c r="H173" s="7"/>
      <c r="Q173" s="91"/>
    </row>
    <row r="174" spans="1:17">
      <c r="B174" s="189"/>
      <c r="H174" s="175"/>
      <c r="K174" s="10"/>
    </row>
    <row r="175" spans="1:17">
      <c r="B175" s="167"/>
      <c r="H175" s="175"/>
    </row>
    <row r="176" spans="1:17">
      <c r="B176" s="167"/>
      <c r="C176" s="173"/>
      <c r="E176" s="135"/>
      <c r="H176" s="132"/>
    </row>
    <row r="177" spans="2:17">
      <c r="B177" s="167"/>
      <c r="C177" s="173"/>
      <c r="H177" s="132"/>
    </row>
    <row r="178" spans="2:17">
      <c r="B178" s="189"/>
      <c r="H178" s="175"/>
      <c r="K178" s="10"/>
    </row>
    <row r="179" spans="2:17">
      <c r="B179" s="167"/>
      <c r="H179" s="175"/>
    </row>
    <row r="180" spans="2:17">
      <c r="B180" s="167"/>
      <c r="C180" s="173"/>
      <c r="H180" s="132"/>
    </row>
    <row r="181" spans="2:17">
      <c r="B181" s="167"/>
      <c r="C181" s="173"/>
      <c r="H181" s="132"/>
      <c r="Q181" s="188"/>
    </row>
    <row r="182" spans="2:17">
      <c r="B182" s="189"/>
      <c r="H182" s="175"/>
    </row>
    <row r="183" spans="2:17">
      <c r="B183" s="167"/>
      <c r="H183" s="175"/>
    </row>
    <row r="184" spans="2:17">
      <c r="B184" s="167"/>
      <c r="C184" s="173"/>
      <c r="E184" s="135"/>
      <c r="H184" s="132"/>
    </row>
    <row r="185" spans="2:17">
      <c r="B185" s="167"/>
      <c r="C185" s="173"/>
      <c r="H185" s="132"/>
      <c r="Q185" s="188"/>
    </row>
    <row r="186" spans="2:17">
      <c r="B186" s="189"/>
      <c r="H186" s="175"/>
    </row>
    <row r="187" spans="2:17">
      <c r="B187" s="167"/>
      <c r="H187" s="175"/>
    </row>
    <row r="188" spans="2:17">
      <c r="B188" s="167"/>
      <c r="C188" s="173"/>
      <c r="H188" s="132"/>
    </row>
    <row r="189" spans="2:17">
      <c r="B189" s="167"/>
      <c r="C189" s="173"/>
      <c r="H189" s="132"/>
    </row>
    <row r="190" spans="2:17">
      <c r="B190" s="189"/>
      <c r="H190" s="175"/>
      <c r="K190" s="167"/>
    </row>
    <row r="191" spans="2:17">
      <c r="B191" s="167"/>
      <c r="H191" s="175"/>
    </row>
    <row r="192" spans="2:17">
      <c r="B192" s="167"/>
      <c r="C192" s="173"/>
      <c r="E192" s="135"/>
      <c r="H192" s="132"/>
    </row>
    <row r="193" spans="1:17">
      <c r="B193" s="167"/>
      <c r="C193" s="173"/>
      <c r="H193" s="132"/>
    </row>
    <row r="194" spans="1:17">
      <c r="B194" s="189"/>
      <c r="H194" s="175"/>
    </row>
    <row r="195" spans="1:17">
      <c r="B195" s="167"/>
      <c r="H195" s="175"/>
      <c r="K195" s="190"/>
    </row>
    <row r="196" spans="1:17" s="137" customFormat="1">
      <c r="A196" s="141"/>
      <c r="B196" s="167"/>
      <c r="C196" s="173"/>
      <c r="D196" s="132"/>
      <c r="E196" s="135"/>
      <c r="F196" s="132"/>
      <c r="G196" s="134"/>
      <c r="H196" s="132"/>
      <c r="J196" s="138"/>
      <c r="K196" s="136"/>
      <c r="L196" s="136"/>
      <c r="M196" s="139"/>
      <c r="N196" s="139"/>
      <c r="O196" s="139"/>
      <c r="P196" s="136"/>
      <c r="Q196" s="135"/>
    </row>
    <row r="197" spans="1:17" s="137" customFormat="1">
      <c r="A197" s="141"/>
      <c r="B197" s="167"/>
      <c r="C197" s="132"/>
      <c r="D197" s="132"/>
      <c r="E197" s="191"/>
      <c r="F197" s="132"/>
      <c r="G197" s="134"/>
      <c r="H197" s="132"/>
      <c r="J197" s="138"/>
      <c r="K197" s="136"/>
      <c r="L197" s="136"/>
      <c r="M197" s="139"/>
      <c r="N197" s="139"/>
      <c r="O197" s="139"/>
      <c r="P197" s="136"/>
      <c r="Q197" s="135"/>
    </row>
    <row r="198" spans="1:17" s="137" customFormat="1" ht="80.25" customHeight="1">
      <c r="A198" s="141"/>
      <c r="B198" s="189"/>
      <c r="C198" s="132"/>
      <c r="D198" s="132"/>
      <c r="E198" s="191"/>
      <c r="F198" s="132"/>
      <c r="G198" s="134"/>
      <c r="H198" s="175"/>
      <c r="J198" s="138"/>
      <c r="K198" s="136"/>
      <c r="L198" s="136"/>
      <c r="M198" s="139"/>
      <c r="N198" s="139"/>
      <c r="O198" s="139"/>
      <c r="P198" s="136"/>
      <c r="Q198" s="135"/>
    </row>
    <row r="199" spans="1:17" s="137" customFormat="1">
      <c r="A199" s="141"/>
      <c r="B199" s="167"/>
      <c r="C199" s="132"/>
      <c r="D199" s="132"/>
      <c r="E199" s="191"/>
      <c r="F199" s="132"/>
      <c r="G199" s="134"/>
      <c r="H199" s="175"/>
      <c r="J199" s="138"/>
      <c r="K199" s="136"/>
      <c r="L199" s="136"/>
      <c r="M199" s="139"/>
      <c r="N199" s="139"/>
      <c r="O199" s="139"/>
      <c r="P199" s="136"/>
      <c r="Q199" s="135"/>
    </row>
    <row r="200" spans="1:17" s="137" customFormat="1">
      <c r="A200" s="141"/>
      <c r="B200" s="167"/>
      <c r="C200" s="173"/>
      <c r="D200" s="132"/>
      <c r="E200" s="135"/>
      <c r="F200" s="132"/>
      <c r="G200" s="134"/>
      <c r="H200" s="132"/>
      <c r="J200" s="138"/>
      <c r="K200" s="136"/>
      <c r="L200" s="136"/>
      <c r="M200" s="139"/>
      <c r="N200" s="139"/>
      <c r="O200" s="139"/>
      <c r="P200" s="136"/>
      <c r="Q200" s="135"/>
    </row>
    <row r="201" spans="1:17" s="137" customFormat="1">
      <c r="A201" s="141"/>
      <c r="B201" s="167"/>
      <c r="C201" s="173"/>
      <c r="D201" s="132"/>
      <c r="E201" s="191"/>
      <c r="F201" s="132"/>
      <c r="G201" s="134"/>
      <c r="H201" s="132"/>
      <c r="J201" s="138"/>
      <c r="K201" s="136"/>
      <c r="L201" s="136"/>
      <c r="M201" s="139"/>
      <c r="N201" s="139"/>
      <c r="O201" s="139"/>
      <c r="P201" s="136"/>
      <c r="Q201" s="135"/>
    </row>
    <row r="202" spans="1:17" s="137" customFormat="1">
      <c r="A202" s="141"/>
      <c r="B202" s="189"/>
      <c r="C202" s="132"/>
      <c r="D202" s="132"/>
      <c r="E202" s="191"/>
      <c r="F202" s="132"/>
      <c r="G202" s="134"/>
      <c r="H202" s="175"/>
      <c r="J202" s="138"/>
      <c r="K202" s="136"/>
      <c r="L202" s="136"/>
      <c r="M202" s="139"/>
      <c r="N202" s="139"/>
      <c r="O202" s="139"/>
      <c r="P202" s="136"/>
      <c r="Q202" s="135"/>
    </row>
    <row r="203" spans="1:17" s="137" customFormat="1">
      <c r="A203" s="141"/>
      <c r="B203" s="167"/>
      <c r="C203" s="132"/>
      <c r="D203" s="132"/>
      <c r="E203" s="191"/>
      <c r="F203" s="132"/>
      <c r="G203" s="134"/>
      <c r="H203" s="175"/>
      <c r="J203" s="138"/>
      <c r="K203" s="136"/>
      <c r="L203" s="136"/>
      <c r="M203" s="139"/>
      <c r="N203" s="139"/>
      <c r="O203" s="139"/>
      <c r="P203" s="136"/>
      <c r="Q203" s="135"/>
    </row>
    <row r="204" spans="1:17" s="137" customFormat="1">
      <c r="A204" s="141"/>
      <c r="B204" s="167"/>
      <c r="C204" s="173"/>
      <c r="D204" s="132"/>
      <c r="E204" s="135"/>
      <c r="F204" s="132"/>
      <c r="G204" s="134"/>
      <c r="H204" s="132"/>
      <c r="J204" s="138"/>
      <c r="K204" s="136"/>
      <c r="L204" s="136"/>
      <c r="M204" s="139"/>
      <c r="N204" s="139"/>
      <c r="O204" s="139"/>
      <c r="P204" s="136"/>
      <c r="Q204" s="135"/>
    </row>
    <row r="205" spans="1:17" s="137" customFormat="1">
      <c r="A205" s="141"/>
      <c r="B205" s="167"/>
      <c r="C205" s="173"/>
      <c r="D205" s="132"/>
      <c r="E205" s="133"/>
      <c r="F205" s="132"/>
      <c r="G205" s="134"/>
      <c r="H205" s="132"/>
      <c r="J205" s="138"/>
      <c r="K205" s="136"/>
      <c r="L205" s="136"/>
      <c r="M205" s="139"/>
      <c r="N205" s="139"/>
      <c r="O205" s="139"/>
      <c r="P205" s="136"/>
      <c r="Q205" s="135"/>
    </row>
    <row r="206" spans="1:17" s="137" customFormat="1">
      <c r="A206" s="141"/>
      <c r="B206" s="189"/>
      <c r="C206" s="132"/>
      <c r="D206" s="132"/>
      <c r="E206" s="191"/>
      <c r="F206" s="132"/>
      <c r="G206" s="134"/>
      <c r="H206" s="175"/>
      <c r="J206" s="138"/>
      <c r="K206" s="136"/>
      <c r="L206" s="136"/>
      <c r="M206" s="139"/>
      <c r="N206" s="139"/>
      <c r="O206" s="139"/>
      <c r="P206" s="136"/>
      <c r="Q206" s="135"/>
    </row>
    <row r="207" spans="1:17" s="137" customFormat="1">
      <c r="A207" s="141"/>
      <c r="B207" s="167"/>
      <c r="C207" s="132"/>
      <c r="D207" s="132"/>
      <c r="E207" s="191"/>
      <c r="F207" s="132"/>
      <c r="G207" s="134"/>
      <c r="H207" s="175"/>
      <c r="J207" s="138"/>
      <c r="K207" s="136"/>
      <c r="L207" s="136"/>
      <c r="M207" s="139"/>
      <c r="N207" s="139"/>
      <c r="O207" s="139"/>
      <c r="P207" s="136"/>
      <c r="Q207" s="135"/>
    </row>
    <row r="208" spans="1:17" s="137" customFormat="1">
      <c r="A208" s="141"/>
      <c r="B208" s="167"/>
      <c r="C208" s="173"/>
      <c r="D208" s="132"/>
      <c r="E208" s="135"/>
      <c r="F208" s="132"/>
      <c r="G208" s="134"/>
      <c r="H208" s="132"/>
      <c r="J208" s="138"/>
      <c r="K208" s="136"/>
      <c r="L208" s="136"/>
      <c r="M208" s="139"/>
      <c r="N208" s="139"/>
      <c r="O208" s="139"/>
      <c r="P208" s="136"/>
      <c r="Q208" s="135"/>
    </row>
    <row r="209" spans="1:17" s="137" customFormat="1">
      <c r="A209" s="141"/>
      <c r="B209" s="167"/>
      <c r="C209" s="132"/>
      <c r="D209" s="132"/>
      <c r="E209" s="191"/>
      <c r="F209" s="132"/>
      <c r="G209" s="134"/>
      <c r="H209" s="132"/>
      <c r="J209" s="138"/>
      <c r="K209" s="136"/>
      <c r="L209" s="136"/>
      <c r="M209" s="139"/>
      <c r="N209" s="139"/>
      <c r="O209" s="139"/>
      <c r="P209" s="136"/>
      <c r="Q209" s="135"/>
    </row>
    <row r="210" spans="1:17" s="137" customFormat="1">
      <c r="A210" s="141"/>
      <c r="B210" s="189"/>
      <c r="C210" s="132"/>
      <c r="D210" s="132"/>
      <c r="E210" s="133"/>
      <c r="F210" s="132"/>
      <c r="G210" s="134"/>
      <c r="H210" s="175"/>
      <c r="J210" s="138"/>
      <c r="K210" s="136"/>
      <c r="L210" s="136"/>
      <c r="M210" s="139"/>
      <c r="N210" s="139"/>
      <c r="O210" s="139"/>
      <c r="P210" s="136"/>
      <c r="Q210" s="135"/>
    </row>
    <row r="211" spans="1:17" s="137" customFormat="1">
      <c r="A211" s="141"/>
      <c r="B211" s="167"/>
      <c r="C211" s="132"/>
      <c r="D211" s="132"/>
      <c r="E211" s="133"/>
      <c r="F211" s="132"/>
      <c r="G211" s="134"/>
      <c r="H211" s="175"/>
      <c r="J211" s="138"/>
      <c r="K211" s="136"/>
      <c r="L211" s="136"/>
      <c r="M211" s="139"/>
      <c r="N211" s="139"/>
      <c r="O211" s="139"/>
      <c r="P211" s="136"/>
      <c r="Q211" s="135"/>
    </row>
    <row r="212" spans="1:17" s="137" customFormat="1">
      <c r="A212" s="141"/>
      <c r="B212" s="167"/>
      <c r="C212" s="173"/>
      <c r="D212" s="132"/>
      <c r="E212" s="135"/>
      <c r="F212" s="132"/>
      <c r="G212" s="134"/>
      <c r="H212" s="132"/>
      <c r="J212" s="138"/>
      <c r="K212" s="136"/>
      <c r="L212" s="136"/>
      <c r="M212" s="139"/>
      <c r="N212" s="139"/>
      <c r="O212" s="139"/>
      <c r="P212" s="136"/>
      <c r="Q212" s="135"/>
    </row>
    <row r="213" spans="1:17" s="137" customFormat="1">
      <c r="A213" s="141"/>
      <c r="B213" s="167"/>
      <c r="C213" s="132"/>
      <c r="D213" s="132"/>
      <c r="E213" s="191"/>
      <c r="F213" s="132"/>
      <c r="G213" s="134"/>
      <c r="H213" s="132"/>
      <c r="J213" s="138"/>
      <c r="K213" s="136"/>
      <c r="L213" s="136"/>
      <c r="M213" s="139"/>
      <c r="N213" s="139"/>
      <c r="O213" s="139"/>
      <c r="P213" s="136"/>
      <c r="Q213" s="135"/>
    </row>
    <row r="214" spans="1:17" s="137" customFormat="1" ht="80.25" customHeight="1">
      <c r="A214" s="141"/>
      <c r="B214" s="189"/>
      <c r="C214" s="132"/>
      <c r="D214" s="132"/>
      <c r="E214" s="191"/>
      <c r="F214" s="132"/>
      <c r="G214" s="134"/>
      <c r="H214" s="175"/>
      <c r="J214" s="138"/>
      <c r="K214" s="136"/>
      <c r="L214" s="136"/>
      <c r="M214" s="139"/>
      <c r="N214" s="139"/>
      <c r="O214" s="139"/>
      <c r="P214" s="136"/>
      <c r="Q214" s="135"/>
    </row>
    <row r="215" spans="1:17" s="137" customFormat="1">
      <c r="A215" s="141"/>
      <c r="B215" s="167"/>
      <c r="C215" s="132"/>
      <c r="D215" s="132"/>
      <c r="E215" s="191"/>
      <c r="F215" s="132"/>
      <c r="G215" s="134"/>
      <c r="H215" s="175"/>
      <c r="J215" s="138"/>
      <c r="K215" s="136"/>
      <c r="L215" s="136"/>
      <c r="M215" s="139"/>
      <c r="N215" s="139"/>
      <c r="O215" s="139"/>
      <c r="P215" s="136"/>
      <c r="Q215" s="135"/>
    </row>
    <row r="216" spans="1:17" s="137" customFormat="1">
      <c r="A216" s="141"/>
      <c r="B216" s="167"/>
      <c r="C216" s="173"/>
      <c r="D216" s="132"/>
      <c r="E216" s="135"/>
      <c r="F216" s="132"/>
      <c r="G216" s="134"/>
      <c r="H216" s="132"/>
      <c r="J216" s="138"/>
      <c r="K216" s="136"/>
      <c r="L216" s="136"/>
      <c r="M216" s="139"/>
      <c r="N216" s="139"/>
      <c r="O216" s="139"/>
      <c r="P216" s="136"/>
      <c r="Q216" s="135"/>
    </row>
    <row r="217" spans="1:17" s="137" customFormat="1">
      <c r="A217" s="141"/>
      <c r="B217" s="167"/>
      <c r="C217" s="132"/>
      <c r="D217" s="132"/>
      <c r="E217" s="191"/>
      <c r="F217" s="132"/>
      <c r="G217" s="134"/>
      <c r="H217" s="132"/>
      <c r="J217" s="138"/>
      <c r="K217" s="136"/>
      <c r="L217" s="136"/>
      <c r="M217" s="139"/>
      <c r="N217" s="139"/>
      <c r="O217" s="139"/>
      <c r="P217" s="136"/>
      <c r="Q217" s="135"/>
    </row>
    <row r="218" spans="1:17" s="137" customFormat="1" ht="54.75" customHeight="1">
      <c r="A218" s="141"/>
      <c r="B218" s="189"/>
      <c r="C218" s="132"/>
      <c r="D218" s="132"/>
      <c r="E218" s="133"/>
      <c r="F218" s="132"/>
      <c r="G218" s="134"/>
      <c r="H218" s="175"/>
      <c r="J218" s="138"/>
      <c r="K218" s="136"/>
      <c r="L218" s="136"/>
      <c r="M218" s="139"/>
      <c r="N218" s="139"/>
      <c r="O218" s="139"/>
      <c r="P218" s="136"/>
      <c r="Q218" s="135"/>
    </row>
    <row r="219" spans="1:17" s="137" customFormat="1">
      <c r="A219" s="141"/>
      <c r="B219" s="167"/>
      <c r="C219" s="132"/>
      <c r="D219" s="132"/>
      <c r="E219" s="133"/>
      <c r="F219" s="132"/>
      <c r="G219" s="134"/>
      <c r="H219" s="175"/>
      <c r="J219" s="138"/>
      <c r="K219" s="136"/>
      <c r="L219" s="136"/>
      <c r="M219" s="139"/>
      <c r="N219" s="139"/>
      <c r="O219" s="139"/>
      <c r="P219" s="136"/>
      <c r="Q219" s="135"/>
    </row>
    <row r="220" spans="1:17" s="137" customFormat="1">
      <c r="A220" s="141"/>
      <c r="B220" s="167"/>
      <c r="C220" s="173"/>
      <c r="D220" s="132"/>
      <c r="E220" s="135"/>
      <c r="F220" s="132"/>
      <c r="G220" s="134"/>
      <c r="H220" s="132"/>
      <c r="J220" s="138"/>
      <c r="K220" s="136"/>
      <c r="L220" s="136"/>
      <c r="M220" s="139"/>
      <c r="N220" s="139"/>
      <c r="O220" s="139"/>
      <c r="P220" s="136"/>
      <c r="Q220" s="135"/>
    </row>
    <row r="221" spans="1:17" s="137" customFormat="1">
      <c r="A221" s="141"/>
      <c r="B221" s="167"/>
      <c r="C221" s="132"/>
      <c r="D221" s="132"/>
      <c r="E221" s="191"/>
      <c r="F221" s="132"/>
      <c r="G221" s="134"/>
      <c r="H221" s="132"/>
      <c r="J221" s="138"/>
      <c r="K221" s="136"/>
      <c r="L221" s="136"/>
      <c r="M221" s="139"/>
      <c r="N221" s="139"/>
      <c r="O221" s="139"/>
      <c r="P221" s="136"/>
      <c r="Q221" s="135"/>
    </row>
    <row r="222" spans="1:17" s="137" customFormat="1" ht="54" customHeight="1">
      <c r="A222" s="141"/>
      <c r="B222" s="189"/>
      <c r="C222" s="132"/>
      <c r="D222" s="132"/>
      <c r="E222" s="133"/>
      <c r="F222" s="132"/>
      <c r="G222" s="134"/>
      <c r="H222" s="175"/>
      <c r="J222" s="138"/>
      <c r="K222" s="136"/>
      <c r="L222" s="136"/>
      <c r="M222" s="139"/>
      <c r="N222" s="139"/>
      <c r="O222" s="139"/>
      <c r="P222" s="136"/>
      <c r="Q222" s="135"/>
    </row>
    <row r="223" spans="1:17" s="137" customFormat="1">
      <c r="A223" s="141"/>
      <c r="B223" s="167"/>
      <c r="C223" s="132"/>
      <c r="D223" s="132"/>
      <c r="E223" s="133"/>
      <c r="F223" s="132"/>
      <c r="G223" s="134"/>
      <c r="H223" s="175"/>
      <c r="J223" s="138"/>
      <c r="K223" s="136"/>
      <c r="L223" s="136"/>
      <c r="M223" s="139"/>
      <c r="N223" s="139"/>
      <c r="O223" s="139"/>
      <c r="P223" s="136"/>
      <c r="Q223" s="135"/>
    </row>
    <row r="224" spans="1:17" s="137" customFormat="1">
      <c r="A224" s="141"/>
      <c r="B224" s="167"/>
      <c r="C224" s="173"/>
      <c r="D224" s="132"/>
      <c r="E224" s="135"/>
      <c r="F224" s="132"/>
      <c r="G224" s="134"/>
      <c r="H224" s="132"/>
      <c r="J224" s="138"/>
      <c r="K224" s="136"/>
      <c r="L224" s="136"/>
      <c r="M224" s="139"/>
      <c r="N224" s="139"/>
      <c r="O224" s="139"/>
      <c r="P224" s="136"/>
      <c r="Q224" s="135"/>
    </row>
    <row r="225" spans="1:17" s="137" customFormat="1">
      <c r="A225" s="141"/>
      <c r="B225" s="167"/>
      <c r="C225" s="132"/>
      <c r="D225" s="132"/>
      <c r="E225" s="135"/>
      <c r="F225" s="132"/>
      <c r="G225" s="134"/>
      <c r="H225" s="132"/>
      <c r="J225" s="138"/>
      <c r="K225" s="136"/>
      <c r="L225" s="136"/>
      <c r="M225" s="139"/>
      <c r="N225" s="139"/>
      <c r="O225" s="139"/>
      <c r="P225" s="136"/>
      <c r="Q225" s="135"/>
    </row>
    <row r="226" spans="1:17" s="137" customFormat="1" ht="94.5" customHeight="1">
      <c r="A226" s="141"/>
      <c r="B226" s="189"/>
      <c r="C226" s="132"/>
      <c r="D226" s="132"/>
      <c r="E226" s="133"/>
      <c r="F226" s="132"/>
      <c r="G226" s="134"/>
      <c r="H226" s="175"/>
      <c r="J226" s="138"/>
      <c r="K226" s="136"/>
      <c r="L226" s="136"/>
      <c r="M226" s="139"/>
      <c r="N226" s="139"/>
      <c r="O226" s="139"/>
      <c r="P226" s="136"/>
      <c r="Q226" s="135"/>
    </row>
    <row r="227" spans="1:17" s="137" customFormat="1">
      <c r="A227" s="141"/>
      <c r="B227" s="167"/>
      <c r="C227" s="132"/>
      <c r="D227" s="132"/>
      <c r="E227" s="133"/>
      <c r="F227" s="132"/>
      <c r="G227" s="134"/>
      <c r="H227" s="175"/>
      <c r="J227" s="138"/>
      <c r="K227" s="136"/>
      <c r="L227" s="136"/>
      <c r="M227" s="139"/>
      <c r="N227" s="139"/>
      <c r="O227" s="139"/>
      <c r="P227" s="136"/>
      <c r="Q227" s="135"/>
    </row>
    <row r="228" spans="1:17">
      <c r="B228" s="167"/>
      <c r="C228" s="173"/>
      <c r="E228" s="135"/>
      <c r="H228" s="132"/>
    </row>
    <row r="229" spans="1:17">
      <c r="B229" s="167"/>
      <c r="C229" s="173"/>
      <c r="H229" s="132"/>
      <c r="Q229" s="188"/>
    </row>
    <row r="230" spans="1:17">
      <c r="B230" s="189"/>
      <c r="H230" s="175"/>
      <c r="K230" s="167"/>
    </row>
    <row r="231" spans="1:17">
      <c r="B231" s="189"/>
      <c r="H231" s="175"/>
      <c r="K231" s="167"/>
    </row>
    <row r="232" spans="1:17">
      <c r="B232" s="167"/>
      <c r="H232" s="175"/>
    </row>
    <row r="233" spans="1:17">
      <c r="B233" s="167"/>
      <c r="C233" s="173"/>
      <c r="H233" s="132"/>
    </row>
    <row r="234" spans="1:17">
      <c r="B234" s="167"/>
      <c r="C234" s="173"/>
      <c r="H234" s="132"/>
    </row>
    <row r="235" spans="1:17">
      <c r="B235" s="167"/>
      <c r="C235" s="173"/>
      <c r="H235" s="132"/>
    </row>
    <row r="236" spans="1:17">
      <c r="B236" s="167"/>
      <c r="C236" s="173"/>
      <c r="H236" s="132"/>
    </row>
    <row r="237" spans="1:17">
      <c r="B237" s="167"/>
      <c r="C237" s="173"/>
      <c r="H237" s="132"/>
    </row>
    <row r="238" spans="1:17">
      <c r="B238" s="167"/>
      <c r="C238" s="173"/>
      <c r="H238" s="132"/>
    </row>
    <row r="239" spans="1:17">
      <c r="B239" s="167"/>
      <c r="C239" s="173"/>
      <c r="H239" s="132"/>
    </row>
    <row r="240" spans="1:17">
      <c r="B240" s="167"/>
      <c r="C240" s="173"/>
      <c r="H240" s="132"/>
    </row>
    <row r="241" spans="2:17">
      <c r="B241" s="167"/>
      <c r="C241" s="173"/>
      <c r="H241" s="132"/>
    </row>
    <row r="242" spans="2:17">
      <c r="B242" s="167"/>
      <c r="C242" s="173"/>
      <c r="E242" s="135"/>
      <c r="H242" s="132"/>
    </row>
    <row r="243" spans="2:17">
      <c r="B243" s="167"/>
      <c r="C243" s="173"/>
      <c r="H243" s="132"/>
    </row>
    <row r="244" spans="2:17">
      <c r="B244" s="167"/>
      <c r="C244" s="173"/>
      <c r="H244" s="132"/>
    </row>
    <row r="245" spans="2:17">
      <c r="B245" s="167"/>
      <c r="C245" s="173"/>
      <c r="H245" s="132"/>
    </row>
    <row r="246" spans="2:17">
      <c r="B246" s="167"/>
      <c r="H246" s="132"/>
      <c r="Q246" s="188"/>
    </row>
    <row r="247" spans="2:17">
      <c r="B247" s="189"/>
      <c r="H247" s="175"/>
    </row>
    <row r="248" spans="2:17">
      <c r="B248" s="167"/>
      <c r="H248" s="175"/>
    </row>
    <row r="249" spans="2:17">
      <c r="B249" s="167"/>
      <c r="C249" s="173"/>
      <c r="H249" s="132"/>
    </row>
    <row r="250" spans="2:17">
      <c r="B250" s="167"/>
      <c r="H250" s="132"/>
      <c r="Q250" s="188"/>
    </row>
    <row r="251" spans="2:17">
      <c r="B251" s="189"/>
      <c r="H251" s="175"/>
    </row>
    <row r="252" spans="2:17">
      <c r="B252" s="167"/>
      <c r="H252" s="175"/>
    </row>
    <row r="253" spans="2:17">
      <c r="B253" s="167"/>
      <c r="C253" s="173"/>
      <c r="E253" s="135"/>
      <c r="H253" s="132"/>
    </row>
    <row r="254" spans="2:17">
      <c r="B254" s="167"/>
      <c r="C254" s="173"/>
      <c r="H254" s="132"/>
    </row>
    <row r="255" spans="2:17">
      <c r="B255" s="189"/>
      <c r="H255" s="175"/>
    </row>
    <row r="256" spans="2:17">
      <c r="B256" s="167"/>
      <c r="H256" s="175"/>
    </row>
    <row r="257" spans="1:17">
      <c r="B257" s="167"/>
      <c r="C257" s="173"/>
      <c r="H257" s="132"/>
    </row>
    <row r="258" spans="1:17">
      <c r="B258" s="167"/>
      <c r="C258" s="173"/>
      <c r="H258" s="132"/>
    </row>
    <row r="259" spans="1:17" s="5" customFormat="1">
      <c r="A259" s="6"/>
      <c r="B259" s="10"/>
      <c r="C259" s="192"/>
      <c r="D259" s="2"/>
      <c r="E259" s="133"/>
      <c r="F259" s="2"/>
      <c r="G259" s="105"/>
      <c r="H259" s="15"/>
      <c r="I259" s="25"/>
      <c r="J259" s="21"/>
      <c r="M259" s="29"/>
      <c r="N259" s="29"/>
      <c r="O259" s="29"/>
      <c r="Q259" s="89"/>
    </row>
    <row r="260" spans="1:17" s="5" customFormat="1">
      <c r="A260" s="6"/>
      <c r="B260" s="10"/>
      <c r="C260" s="192"/>
      <c r="D260" s="2"/>
      <c r="E260" s="133"/>
      <c r="F260" s="2"/>
      <c r="G260" s="105"/>
      <c r="H260" s="15"/>
      <c r="I260" s="25"/>
      <c r="J260" s="21"/>
      <c r="M260" s="29"/>
      <c r="N260" s="29"/>
      <c r="O260" s="29"/>
      <c r="Q260" s="89"/>
    </row>
    <row r="261" spans="1:17" s="5" customFormat="1">
      <c r="A261" s="6"/>
      <c r="B261" s="10"/>
      <c r="C261" s="74"/>
      <c r="D261" s="2"/>
      <c r="E261" s="133"/>
      <c r="F261" s="2"/>
      <c r="G261" s="105"/>
      <c r="H261" s="2"/>
      <c r="I261" s="25"/>
      <c r="J261" s="21"/>
      <c r="M261" s="29"/>
      <c r="N261" s="29"/>
      <c r="O261" s="29"/>
      <c r="Q261" s="89"/>
    </row>
    <row r="262" spans="1:17" s="5" customFormat="1">
      <c r="A262" s="8"/>
      <c r="B262" s="14"/>
      <c r="C262" s="14"/>
      <c r="D262" s="193"/>
      <c r="E262" s="133"/>
      <c r="F262" s="193"/>
      <c r="G262" s="194"/>
      <c r="H262" s="193"/>
      <c r="I262" s="25"/>
      <c r="J262" s="21"/>
      <c r="M262" s="29"/>
      <c r="N262" s="29"/>
      <c r="O262" s="29"/>
      <c r="Q262" s="195"/>
    </row>
    <row r="263" spans="1:17" s="5" customFormat="1">
      <c r="A263" s="6"/>
      <c r="B263" s="10"/>
      <c r="C263" s="192"/>
      <c r="D263" s="2"/>
      <c r="E263" s="133"/>
      <c r="F263" s="2"/>
      <c r="G263" s="105"/>
      <c r="H263" s="15"/>
      <c r="I263" s="25"/>
      <c r="J263" s="21"/>
      <c r="M263" s="29"/>
      <c r="N263" s="29"/>
      <c r="O263" s="29"/>
      <c r="Q263" s="89"/>
    </row>
    <row r="264" spans="1:17" s="5" customFormat="1">
      <c r="A264" s="6"/>
      <c r="B264" s="10"/>
      <c r="C264" s="192"/>
      <c r="D264" s="2"/>
      <c r="E264" s="133"/>
      <c r="F264" s="2"/>
      <c r="G264" s="105"/>
      <c r="H264" s="15"/>
      <c r="I264" s="25"/>
      <c r="J264" s="21"/>
      <c r="M264" s="29"/>
      <c r="N264" s="29"/>
      <c r="O264" s="29"/>
      <c r="Q264" s="89"/>
    </row>
    <row r="265" spans="1:17" s="5" customFormat="1">
      <c r="A265" s="6"/>
      <c r="B265" s="10"/>
      <c r="C265" s="74"/>
      <c r="D265" s="2"/>
      <c r="E265" s="135"/>
      <c r="F265" s="2"/>
      <c r="G265" s="105"/>
      <c r="H265" s="2"/>
      <c r="I265" s="25"/>
      <c r="J265" s="21"/>
      <c r="M265" s="29"/>
      <c r="N265" s="29"/>
      <c r="O265" s="29"/>
      <c r="Q265" s="89"/>
    </row>
    <row r="266" spans="1:17" s="5" customFormat="1">
      <c r="A266" s="6"/>
      <c r="B266" s="10"/>
      <c r="C266" s="192"/>
      <c r="D266" s="2"/>
      <c r="E266" s="133"/>
      <c r="F266" s="2"/>
      <c r="G266" s="105"/>
      <c r="H266" s="2"/>
      <c r="I266" s="25"/>
      <c r="J266" s="21"/>
      <c r="M266" s="29"/>
      <c r="N266" s="29"/>
      <c r="O266" s="29"/>
      <c r="Q266" s="89"/>
    </row>
    <row r="267" spans="1:17" s="5" customFormat="1">
      <c r="A267" s="6"/>
      <c r="B267" s="10"/>
      <c r="C267" s="2"/>
      <c r="D267" s="2"/>
      <c r="E267" s="133"/>
      <c r="F267" s="2"/>
      <c r="G267" s="94"/>
      <c r="H267" s="15"/>
      <c r="Q267" s="89"/>
    </row>
    <row r="268" spans="1:17" s="5" customFormat="1">
      <c r="A268" s="6"/>
      <c r="B268" s="10"/>
      <c r="C268" s="2"/>
      <c r="D268" s="2"/>
      <c r="E268" s="133"/>
      <c r="F268" s="2"/>
      <c r="G268" s="94"/>
      <c r="H268" s="15"/>
      <c r="Q268" s="89"/>
    </row>
    <row r="269" spans="1:17" s="5" customFormat="1">
      <c r="A269" s="6"/>
      <c r="B269" s="10"/>
      <c r="C269" s="4"/>
      <c r="D269" s="2"/>
      <c r="E269" s="135"/>
      <c r="F269" s="2"/>
      <c r="G269" s="94"/>
      <c r="H269" s="2"/>
      <c r="Q269" s="89"/>
    </row>
    <row r="270" spans="1:17" s="5" customFormat="1">
      <c r="A270" s="8"/>
      <c r="B270" s="14"/>
      <c r="C270" s="14"/>
      <c r="D270" s="193"/>
      <c r="E270" s="133"/>
      <c r="F270" s="193"/>
      <c r="G270" s="194"/>
      <c r="H270" s="193"/>
      <c r="I270" s="25"/>
      <c r="J270" s="21"/>
      <c r="M270" s="29"/>
      <c r="N270" s="29"/>
      <c r="O270" s="29"/>
      <c r="Q270" s="195"/>
    </row>
    <row r="271" spans="1:17" s="5" customFormat="1">
      <c r="A271" s="6"/>
      <c r="B271" s="10"/>
      <c r="C271" s="192"/>
      <c r="D271" s="2"/>
      <c r="E271" s="133"/>
      <c r="F271" s="2"/>
      <c r="G271" s="105"/>
      <c r="H271" s="15"/>
      <c r="I271" s="25"/>
      <c r="J271" s="21"/>
      <c r="M271" s="29"/>
      <c r="N271" s="29"/>
      <c r="O271" s="29"/>
      <c r="Q271" s="89"/>
    </row>
    <row r="272" spans="1:17" s="5" customFormat="1">
      <c r="A272" s="6"/>
      <c r="B272" s="10"/>
      <c r="C272" s="192"/>
      <c r="D272" s="2"/>
      <c r="E272" s="133"/>
      <c r="F272" s="2"/>
      <c r="G272" s="105"/>
      <c r="H272" s="15"/>
      <c r="I272" s="25"/>
      <c r="J272" s="21"/>
      <c r="M272" s="29"/>
      <c r="N272" s="29"/>
      <c r="O272" s="29"/>
      <c r="Q272" s="89"/>
    </row>
    <row r="273" spans="1:17" s="5" customFormat="1">
      <c r="A273" s="6"/>
      <c r="B273" s="10"/>
      <c r="C273" s="74"/>
      <c r="D273" s="2"/>
      <c r="E273" s="133"/>
      <c r="F273" s="2"/>
      <c r="G273" s="105"/>
      <c r="H273" s="2"/>
      <c r="I273" s="25"/>
      <c r="J273" s="21"/>
      <c r="M273" s="29"/>
      <c r="N273" s="29"/>
      <c r="O273" s="29"/>
      <c r="Q273" s="89"/>
    </row>
    <row r="274" spans="1:17" s="5" customFormat="1">
      <c r="A274" s="8"/>
      <c r="B274" s="14"/>
      <c r="C274" s="14"/>
      <c r="D274" s="193"/>
      <c r="E274" s="133"/>
      <c r="F274" s="193"/>
      <c r="G274" s="194"/>
      <c r="H274" s="193"/>
      <c r="I274" s="25"/>
      <c r="J274" s="196"/>
      <c r="M274" s="29"/>
      <c r="N274" s="29"/>
      <c r="O274" s="29"/>
      <c r="Q274" s="195"/>
    </row>
    <row r="275" spans="1:17" s="5" customFormat="1">
      <c r="A275" s="6"/>
      <c r="B275" s="10"/>
      <c r="C275" s="192"/>
      <c r="D275" s="2"/>
      <c r="E275" s="133"/>
      <c r="F275" s="2"/>
      <c r="G275" s="105"/>
      <c r="H275" s="15"/>
      <c r="I275" s="25"/>
      <c r="J275" s="21"/>
      <c r="M275" s="29"/>
      <c r="N275" s="29"/>
      <c r="O275" s="29"/>
      <c r="Q275" s="89"/>
    </row>
    <row r="276" spans="1:17" s="5" customFormat="1">
      <c r="A276" s="6"/>
      <c r="B276" s="10"/>
      <c r="C276" s="192"/>
      <c r="D276" s="2"/>
      <c r="E276" s="133"/>
      <c r="F276" s="2"/>
      <c r="G276" s="105"/>
      <c r="H276" s="15"/>
      <c r="I276" s="25"/>
      <c r="J276" s="21"/>
      <c r="M276" s="29"/>
      <c r="N276" s="29"/>
      <c r="O276" s="29"/>
      <c r="Q276" s="89"/>
    </row>
    <row r="277" spans="1:17" s="5" customFormat="1">
      <c r="A277" s="6"/>
      <c r="B277" s="10"/>
      <c r="C277" s="74"/>
      <c r="D277" s="2"/>
      <c r="E277" s="133"/>
      <c r="F277" s="2"/>
      <c r="G277" s="105"/>
      <c r="H277" s="2"/>
      <c r="I277" s="25"/>
      <c r="J277" s="21"/>
      <c r="M277" s="29"/>
      <c r="N277" s="29"/>
      <c r="O277" s="29"/>
      <c r="Q277" s="89"/>
    </row>
    <row r="278" spans="1:17" s="5" customFormat="1">
      <c r="A278" s="8"/>
      <c r="B278" s="14"/>
      <c r="C278" s="14"/>
      <c r="D278" s="193"/>
      <c r="E278" s="133"/>
      <c r="F278" s="193"/>
      <c r="G278" s="194"/>
      <c r="H278" s="193"/>
      <c r="I278" s="25"/>
      <c r="J278" s="21"/>
      <c r="M278" s="29"/>
      <c r="N278" s="29"/>
      <c r="O278" s="29"/>
      <c r="Q278" s="195"/>
    </row>
    <row r="279" spans="1:17" s="5" customFormat="1">
      <c r="A279" s="6"/>
      <c r="B279" s="10"/>
      <c r="C279" s="192"/>
      <c r="D279" s="2"/>
      <c r="E279" s="133"/>
      <c r="F279" s="2"/>
      <c r="G279" s="105"/>
      <c r="H279" s="15"/>
      <c r="I279" s="25"/>
      <c r="J279" s="21"/>
      <c r="M279" s="29"/>
      <c r="N279" s="29"/>
      <c r="O279" s="29"/>
      <c r="Q279" s="89"/>
    </row>
    <row r="280" spans="1:17" s="5" customFormat="1">
      <c r="A280" s="6"/>
      <c r="B280" s="10"/>
      <c r="C280" s="192"/>
      <c r="D280" s="2"/>
      <c r="E280" s="133"/>
      <c r="F280" s="2"/>
      <c r="G280" s="105"/>
      <c r="H280" s="15"/>
      <c r="I280" s="25"/>
      <c r="J280" s="21"/>
      <c r="M280" s="29"/>
      <c r="N280" s="29"/>
      <c r="O280" s="29"/>
      <c r="Q280" s="89"/>
    </row>
    <row r="281" spans="1:17" s="5" customFormat="1">
      <c r="A281" s="6"/>
      <c r="B281" s="10"/>
      <c r="C281" s="74"/>
      <c r="D281" s="2"/>
      <c r="E281" s="133"/>
      <c r="F281" s="2"/>
      <c r="G281" s="105"/>
      <c r="H281" s="2"/>
      <c r="I281" s="25"/>
      <c r="J281" s="21"/>
      <c r="M281" s="29"/>
      <c r="N281" s="29"/>
      <c r="O281" s="29"/>
      <c r="Q281" s="89"/>
    </row>
    <row r="282" spans="1:17" s="5" customFormat="1">
      <c r="A282" s="8"/>
      <c r="B282" s="14"/>
      <c r="C282" s="14"/>
      <c r="D282" s="193"/>
      <c r="E282" s="133"/>
      <c r="F282" s="193"/>
      <c r="G282" s="194"/>
      <c r="H282" s="193"/>
      <c r="I282" s="25"/>
      <c r="J282" s="21"/>
      <c r="M282" s="29"/>
      <c r="N282" s="29"/>
      <c r="O282" s="29"/>
      <c r="Q282" s="195"/>
    </row>
    <row r="283" spans="1:17" s="5" customFormat="1">
      <c r="A283" s="6"/>
      <c r="B283" s="10"/>
      <c r="C283" s="192"/>
      <c r="D283" s="2"/>
      <c r="E283" s="133"/>
      <c r="F283" s="2"/>
      <c r="G283" s="105"/>
      <c r="H283" s="15"/>
      <c r="I283" s="25"/>
      <c r="J283" s="21"/>
      <c r="M283" s="29"/>
      <c r="N283" s="29"/>
      <c r="O283" s="29"/>
      <c r="Q283" s="89"/>
    </row>
    <row r="284" spans="1:17" s="5" customFormat="1">
      <c r="A284" s="6"/>
      <c r="B284" s="10"/>
      <c r="C284" s="192"/>
      <c r="D284" s="2"/>
      <c r="E284" s="133"/>
      <c r="F284" s="2"/>
      <c r="G284" s="105"/>
      <c r="H284" s="15"/>
      <c r="I284" s="25"/>
      <c r="J284" s="21"/>
      <c r="M284" s="29"/>
      <c r="N284" s="29"/>
      <c r="O284" s="29"/>
      <c r="Q284" s="89"/>
    </row>
    <row r="285" spans="1:17" s="5" customFormat="1">
      <c r="A285" s="6"/>
      <c r="B285" s="10"/>
      <c r="C285" s="74"/>
      <c r="D285" s="2"/>
      <c r="E285" s="133"/>
      <c r="F285" s="2"/>
      <c r="G285" s="105"/>
      <c r="H285" s="2"/>
      <c r="I285" s="25"/>
      <c r="J285" s="21"/>
      <c r="M285" s="29"/>
      <c r="N285" s="29"/>
      <c r="O285" s="29"/>
      <c r="Q285" s="89"/>
    </row>
    <row r="286" spans="1:17" s="5" customFormat="1">
      <c r="A286" s="6"/>
      <c r="B286" s="10"/>
      <c r="C286" s="192"/>
      <c r="D286" s="2"/>
      <c r="E286" s="133"/>
      <c r="F286" s="2"/>
      <c r="G286" s="105"/>
      <c r="H286" s="15"/>
      <c r="I286" s="25"/>
      <c r="J286" s="21"/>
      <c r="M286" s="29"/>
      <c r="N286" s="29"/>
      <c r="O286" s="29"/>
      <c r="Q286" s="94"/>
    </row>
    <row r="287" spans="1:17" s="5" customFormat="1">
      <c r="A287" s="6"/>
      <c r="B287" s="10"/>
      <c r="C287" s="192"/>
      <c r="D287" s="2"/>
      <c r="E287" s="133"/>
      <c r="F287" s="2"/>
      <c r="G287" s="105"/>
      <c r="H287" s="15"/>
      <c r="Q287" s="89"/>
    </row>
    <row r="288" spans="1:17" s="5" customFormat="1">
      <c r="A288" s="6"/>
      <c r="B288" s="10"/>
      <c r="C288" s="192"/>
      <c r="D288" s="2"/>
      <c r="E288" s="133"/>
      <c r="F288" s="2"/>
      <c r="G288" s="105"/>
      <c r="H288" s="15"/>
      <c r="Q288" s="89"/>
    </row>
    <row r="289" spans="1:17" s="5" customFormat="1">
      <c r="A289" s="6"/>
      <c r="B289" s="10"/>
      <c r="C289" s="74"/>
      <c r="D289" s="2"/>
      <c r="E289" s="133"/>
      <c r="F289" s="2"/>
      <c r="G289" s="105"/>
      <c r="H289" s="2"/>
      <c r="Q289" s="89"/>
    </row>
    <row r="290" spans="1:17">
      <c r="B290" s="167"/>
      <c r="C290" s="173"/>
      <c r="H290" s="132"/>
    </row>
    <row r="291" spans="1:17" s="5" customFormat="1">
      <c r="A291" s="6"/>
      <c r="B291" s="10"/>
      <c r="C291" s="192"/>
      <c r="D291" s="2"/>
      <c r="E291" s="133"/>
      <c r="F291" s="2"/>
      <c r="G291" s="105"/>
      <c r="H291" s="15"/>
      <c r="I291" s="25"/>
      <c r="J291" s="21"/>
      <c r="M291" s="29"/>
      <c r="N291" s="29"/>
      <c r="O291" s="29"/>
      <c r="Q291" s="89"/>
    </row>
    <row r="292" spans="1:17" s="5" customFormat="1">
      <c r="A292" s="6"/>
      <c r="B292" s="10"/>
      <c r="C292" s="192"/>
      <c r="D292" s="2"/>
      <c r="E292" s="133"/>
      <c r="F292" s="2"/>
      <c r="G292" s="105"/>
      <c r="H292" s="15"/>
      <c r="I292" s="25"/>
      <c r="J292" s="21"/>
      <c r="M292" s="29"/>
      <c r="N292" s="29"/>
      <c r="O292" s="29"/>
      <c r="Q292" s="89"/>
    </row>
    <row r="293" spans="1:17" s="5" customFormat="1">
      <c r="A293" s="6"/>
      <c r="B293" s="10"/>
      <c r="C293" s="74"/>
      <c r="D293" s="2"/>
      <c r="E293" s="133"/>
      <c r="F293" s="2"/>
      <c r="G293" s="105"/>
      <c r="H293" s="2"/>
      <c r="I293" s="25"/>
      <c r="J293" s="21"/>
      <c r="M293" s="29"/>
      <c r="N293" s="29"/>
      <c r="O293" s="29"/>
      <c r="Q293" s="89"/>
    </row>
    <row r="294" spans="1:17" s="5" customFormat="1">
      <c r="A294" s="8"/>
      <c r="B294" s="14"/>
      <c r="C294" s="14"/>
      <c r="D294" s="193"/>
      <c r="E294" s="133"/>
      <c r="F294" s="193"/>
      <c r="G294" s="194"/>
      <c r="H294" s="193"/>
      <c r="I294" s="25"/>
      <c r="J294" s="21"/>
      <c r="M294" s="29"/>
      <c r="N294" s="29"/>
      <c r="O294" s="29"/>
      <c r="Q294" s="195"/>
    </row>
    <row r="295" spans="1:17" s="5" customFormat="1">
      <c r="A295" s="6"/>
      <c r="B295" s="10"/>
      <c r="C295" s="192"/>
      <c r="D295" s="2"/>
      <c r="E295" s="133"/>
      <c r="F295" s="2"/>
      <c r="G295" s="105"/>
      <c r="H295" s="15"/>
      <c r="I295" s="25"/>
      <c r="J295" s="21"/>
      <c r="M295" s="29"/>
      <c r="N295" s="29"/>
      <c r="O295" s="29"/>
      <c r="Q295" s="89"/>
    </row>
    <row r="296" spans="1:17" s="5" customFormat="1">
      <c r="A296" s="6"/>
      <c r="B296" s="10"/>
      <c r="C296" s="192"/>
      <c r="D296" s="2"/>
      <c r="E296" s="133"/>
      <c r="F296" s="2"/>
      <c r="G296" s="105"/>
      <c r="H296" s="15"/>
      <c r="I296" s="25"/>
      <c r="J296" s="21"/>
      <c r="M296" s="29"/>
      <c r="N296" s="29"/>
      <c r="O296" s="29"/>
      <c r="Q296" s="89"/>
    </row>
    <row r="297" spans="1:17" s="5" customFormat="1">
      <c r="A297" s="6"/>
      <c r="B297" s="10"/>
      <c r="C297" s="74"/>
      <c r="D297" s="2"/>
      <c r="E297" s="133"/>
      <c r="F297" s="2"/>
      <c r="G297" s="105"/>
      <c r="H297" s="2"/>
      <c r="I297" s="25"/>
      <c r="J297" s="21"/>
      <c r="M297" s="29"/>
      <c r="N297" s="29"/>
      <c r="O297" s="29"/>
      <c r="Q297" s="89"/>
    </row>
    <row r="298" spans="1:17" s="5" customFormat="1">
      <c r="A298" s="8"/>
      <c r="B298" s="14"/>
      <c r="C298" s="14"/>
      <c r="D298" s="193"/>
      <c r="E298" s="133"/>
      <c r="F298" s="193"/>
      <c r="G298" s="194"/>
      <c r="H298" s="193"/>
      <c r="I298" s="25"/>
      <c r="J298" s="21"/>
      <c r="M298" s="29"/>
      <c r="N298" s="29"/>
      <c r="O298" s="29"/>
      <c r="Q298" s="195"/>
    </row>
    <row r="299" spans="1:17" s="5" customFormat="1">
      <c r="A299" s="6"/>
      <c r="B299" s="10"/>
      <c r="C299" s="192"/>
      <c r="D299" s="2"/>
      <c r="E299" s="133"/>
      <c r="F299" s="2"/>
      <c r="G299" s="105"/>
      <c r="H299" s="15"/>
      <c r="I299" s="25"/>
      <c r="J299" s="21"/>
      <c r="M299" s="29"/>
      <c r="N299" s="29"/>
      <c r="O299" s="29"/>
      <c r="Q299" s="89"/>
    </row>
    <row r="300" spans="1:17" s="5" customFormat="1">
      <c r="A300" s="6"/>
      <c r="B300" s="10"/>
      <c r="C300" s="192"/>
      <c r="D300" s="2"/>
      <c r="E300" s="133"/>
      <c r="F300" s="2"/>
      <c r="G300" s="105"/>
      <c r="H300" s="15"/>
      <c r="I300" s="25"/>
      <c r="J300" s="21"/>
      <c r="M300" s="29"/>
      <c r="N300" s="29"/>
      <c r="O300" s="29"/>
      <c r="Q300" s="89"/>
    </row>
    <row r="301" spans="1:17" s="5" customFormat="1">
      <c r="A301" s="6"/>
      <c r="B301" s="10"/>
      <c r="C301" s="74"/>
      <c r="D301" s="2"/>
      <c r="E301" s="133"/>
      <c r="F301" s="2"/>
      <c r="G301" s="105"/>
      <c r="H301" s="2"/>
      <c r="I301" s="25"/>
      <c r="J301" s="21"/>
      <c r="M301" s="29"/>
      <c r="N301" s="29"/>
      <c r="O301" s="29"/>
      <c r="Q301" s="89"/>
    </row>
    <row r="302" spans="1:17" s="5" customFormat="1">
      <c r="A302" s="8"/>
      <c r="B302" s="14"/>
      <c r="C302" s="14"/>
      <c r="D302" s="193"/>
      <c r="E302" s="133"/>
      <c r="F302" s="193"/>
      <c r="G302" s="194"/>
      <c r="H302" s="193"/>
      <c r="I302" s="25"/>
      <c r="J302" s="21"/>
      <c r="M302" s="29"/>
      <c r="N302" s="29"/>
      <c r="O302" s="29"/>
      <c r="Q302" s="195"/>
    </row>
    <row r="303" spans="1:17" s="5" customFormat="1">
      <c r="A303" s="6"/>
      <c r="B303" s="10"/>
      <c r="C303" s="192"/>
      <c r="D303" s="2"/>
      <c r="E303" s="133"/>
      <c r="F303" s="2"/>
      <c r="G303" s="105"/>
      <c r="H303" s="15"/>
      <c r="I303" s="25"/>
      <c r="J303" s="21"/>
      <c r="M303" s="29"/>
      <c r="N303" s="29"/>
      <c r="O303" s="29"/>
      <c r="Q303" s="89"/>
    </row>
    <row r="304" spans="1:17" s="5" customFormat="1">
      <c r="A304" s="6"/>
      <c r="B304" s="10"/>
      <c r="C304" s="192"/>
      <c r="D304" s="2"/>
      <c r="E304" s="133"/>
      <c r="F304" s="2"/>
      <c r="G304" s="105"/>
      <c r="H304" s="15"/>
      <c r="I304" s="25"/>
      <c r="J304" s="21"/>
      <c r="M304" s="29"/>
      <c r="N304" s="29"/>
      <c r="O304" s="29"/>
      <c r="Q304" s="89"/>
    </row>
    <row r="305" spans="1:17" s="5" customFormat="1">
      <c r="A305" s="6"/>
      <c r="B305" s="10"/>
      <c r="C305" s="74"/>
      <c r="D305" s="2"/>
      <c r="E305" s="133"/>
      <c r="F305" s="2"/>
      <c r="G305" s="105"/>
      <c r="H305" s="2"/>
      <c r="I305" s="25"/>
      <c r="J305" s="21"/>
      <c r="M305" s="29"/>
      <c r="N305" s="29"/>
      <c r="O305" s="29"/>
      <c r="Q305" s="89"/>
    </row>
    <row r="306" spans="1:17">
      <c r="B306" s="167"/>
      <c r="H306" s="175"/>
      <c r="I306" s="136"/>
      <c r="J306" s="136"/>
      <c r="M306" s="136"/>
      <c r="N306" s="136"/>
      <c r="O306" s="136"/>
    </row>
    <row r="307" spans="1:17">
      <c r="B307" s="167"/>
      <c r="H307" s="175"/>
      <c r="I307" s="136"/>
      <c r="J307" s="136"/>
      <c r="M307" s="136"/>
      <c r="N307" s="136"/>
      <c r="O307" s="136"/>
    </row>
    <row r="308" spans="1:17">
      <c r="B308" s="167"/>
      <c r="H308" s="175"/>
      <c r="I308" s="136"/>
      <c r="J308" s="136"/>
      <c r="M308" s="136"/>
      <c r="N308" s="136"/>
      <c r="O308" s="136"/>
    </row>
    <row r="309" spans="1:17">
      <c r="B309" s="167"/>
      <c r="C309" s="173"/>
      <c r="E309" s="135"/>
      <c r="H309" s="132"/>
      <c r="I309" s="136"/>
      <c r="J309" s="136"/>
      <c r="M309" s="136"/>
      <c r="N309" s="136"/>
      <c r="O309" s="136"/>
    </row>
    <row r="310" spans="1:17">
      <c r="B310" s="167"/>
      <c r="C310" s="173"/>
      <c r="H310" s="132"/>
      <c r="I310" s="136"/>
      <c r="J310" s="136"/>
      <c r="M310" s="136"/>
      <c r="N310" s="136"/>
      <c r="O310" s="136"/>
    </row>
    <row r="311" spans="1:17" s="5" customFormat="1">
      <c r="A311" s="6"/>
      <c r="B311" s="10"/>
      <c r="C311" s="192"/>
      <c r="D311" s="2"/>
      <c r="E311" s="133"/>
      <c r="F311" s="2"/>
      <c r="G311" s="105"/>
      <c r="H311" s="15"/>
      <c r="I311" s="25"/>
      <c r="J311" s="21"/>
      <c r="M311" s="29"/>
      <c r="N311" s="29"/>
      <c r="O311" s="29"/>
      <c r="Q311" s="89"/>
    </row>
    <row r="312" spans="1:17" s="5" customFormat="1">
      <c r="A312" s="6"/>
      <c r="B312" s="10"/>
      <c r="C312" s="192"/>
      <c r="D312" s="2"/>
      <c r="E312" s="133"/>
      <c r="F312" s="2"/>
      <c r="G312" s="105"/>
      <c r="H312" s="15"/>
      <c r="I312" s="25"/>
      <c r="J312" s="21"/>
      <c r="M312" s="29"/>
      <c r="N312" s="29"/>
      <c r="O312" s="29"/>
      <c r="Q312" s="89"/>
    </row>
    <row r="313" spans="1:17" s="5" customFormat="1">
      <c r="A313" s="6"/>
      <c r="B313" s="10"/>
      <c r="C313" s="74"/>
      <c r="D313" s="2"/>
      <c r="E313" s="133"/>
      <c r="F313" s="2"/>
      <c r="G313" s="105"/>
      <c r="H313" s="2"/>
      <c r="I313" s="25"/>
      <c r="J313" s="21"/>
      <c r="M313" s="29"/>
      <c r="N313" s="29"/>
      <c r="O313" s="29"/>
      <c r="Q313" s="89"/>
    </row>
    <row r="314" spans="1:17" s="5" customFormat="1">
      <c r="A314" s="6"/>
      <c r="B314" s="10"/>
      <c r="C314" s="74"/>
      <c r="D314" s="2"/>
      <c r="E314" s="133"/>
      <c r="F314" s="2"/>
      <c r="G314" s="105"/>
      <c r="H314" s="2"/>
      <c r="I314" s="25"/>
      <c r="J314" s="21"/>
      <c r="M314" s="29"/>
      <c r="N314" s="29"/>
      <c r="O314" s="29"/>
      <c r="Q314" s="89"/>
    </row>
    <row r="315" spans="1:17" s="5" customFormat="1">
      <c r="A315" s="6"/>
      <c r="B315" s="10"/>
      <c r="C315" s="192"/>
      <c r="D315" s="2"/>
      <c r="E315" s="133"/>
      <c r="F315" s="2"/>
      <c r="G315" s="105"/>
      <c r="H315" s="15"/>
      <c r="I315" s="25"/>
      <c r="J315" s="21"/>
      <c r="K315" s="189"/>
      <c r="M315" s="29"/>
      <c r="N315" s="29"/>
      <c r="O315" s="29"/>
      <c r="Q315" s="89"/>
    </row>
    <row r="316" spans="1:17" s="5" customFormat="1">
      <c r="A316" s="6"/>
      <c r="B316" s="10"/>
      <c r="C316" s="192"/>
      <c r="D316" s="2"/>
      <c r="E316" s="133"/>
      <c r="F316" s="2"/>
      <c r="G316" s="105"/>
      <c r="H316" s="15"/>
      <c r="I316" s="25"/>
      <c r="J316" s="21"/>
      <c r="M316" s="29"/>
      <c r="N316" s="29"/>
      <c r="O316" s="29"/>
      <c r="Q316" s="89"/>
    </row>
    <row r="317" spans="1:17" s="5" customFormat="1">
      <c r="A317" s="6"/>
      <c r="B317" s="10"/>
      <c r="C317" s="74"/>
      <c r="D317" s="2"/>
      <c r="E317" s="135"/>
      <c r="F317" s="2"/>
      <c r="G317" s="105"/>
      <c r="H317" s="2"/>
      <c r="I317" s="25"/>
      <c r="J317" s="21"/>
      <c r="M317" s="29"/>
      <c r="N317" s="29"/>
      <c r="O317" s="29"/>
      <c r="Q317" s="89"/>
    </row>
    <row r="318" spans="1:17" s="5" customFormat="1">
      <c r="A318" s="6"/>
      <c r="B318" s="10"/>
      <c r="C318" s="74"/>
      <c r="D318" s="2"/>
      <c r="E318" s="133"/>
      <c r="F318" s="2"/>
      <c r="G318" s="105"/>
      <c r="H318" s="2"/>
      <c r="I318" s="25"/>
      <c r="J318" s="21"/>
      <c r="M318" s="29"/>
      <c r="N318" s="29"/>
      <c r="O318" s="29"/>
      <c r="Q318" s="89"/>
    </row>
    <row r="319" spans="1:17" s="5" customFormat="1">
      <c r="A319" s="6"/>
      <c r="B319" s="10"/>
      <c r="C319" s="192"/>
      <c r="D319" s="2"/>
      <c r="E319" s="133"/>
      <c r="F319" s="2"/>
      <c r="G319" s="105"/>
      <c r="H319" s="15"/>
      <c r="I319" s="25"/>
      <c r="J319" s="21"/>
      <c r="M319" s="29"/>
      <c r="N319" s="29"/>
      <c r="O319" s="29"/>
      <c r="Q319" s="89"/>
    </row>
    <row r="320" spans="1:17" s="5" customFormat="1">
      <c r="A320" s="6"/>
      <c r="B320" s="10"/>
      <c r="C320" s="192"/>
      <c r="D320" s="2"/>
      <c r="E320" s="133"/>
      <c r="F320" s="2"/>
      <c r="G320" s="105"/>
      <c r="H320" s="15"/>
      <c r="I320" s="25"/>
      <c r="J320" s="21"/>
      <c r="M320" s="29"/>
      <c r="N320" s="29"/>
      <c r="O320" s="29"/>
      <c r="Q320" s="89"/>
    </row>
    <row r="321" spans="1:17" s="5" customFormat="1">
      <c r="A321" s="6"/>
      <c r="B321" s="10"/>
      <c r="C321" s="74"/>
      <c r="D321" s="2"/>
      <c r="E321" s="135"/>
      <c r="F321" s="2"/>
      <c r="G321" s="105"/>
      <c r="H321" s="2"/>
      <c r="I321" s="25"/>
      <c r="J321" s="21"/>
      <c r="M321" s="29"/>
      <c r="N321" s="29"/>
      <c r="O321" s="29"/>
      <c r="Q321" s="89"/>
    </row>
    <row r="322" spans="1:17" s="5" customFormat="1">
      <c r="A322" s="6"/>
      <c r="B322" s="10"/>
      <c r="C322" s="74"/>
      <c r="D322" s="2"/>
      <c r="E322" s="133"/>
      <c r="F322" s="2"/>
      <c r="G322" s="105"/>
      <c r="H322" s="2"/>
      <c r="I322" s="25"/>
      <c r="J322" s="21"/>
      <c r="M322" s="29"/>
      <c r="N322" s="29"/>
      <c r="O322" s="29"/>
      <c r="Q322" s="89"/>
    </row>
    <row r="323" spans="1:17" s="5" customFormat="1">
      <c r="A323" s="6"/>
      <c r="B323" s="10"/>
      <c r="C323" s="192"/>
      <c r="D323" s="2"/>
      <c r="E323" s="133"/>
      <c r="F323" s="2"/>
      <c r="G323" s="105"/>
      <c r="H323" s="15"/>
      <c r="I323" s="25"/>
      <c r="J323" s="21"/>
      <c r="K323" s="189"/>
      <c r="M323" s="29"/>
      <c r="N323" s="29"/>
      <c r="O323" s="29"/>
      <c r="Q323" s="89"/>
    </row>
    <row r="324" spans="1:17" s="5" customFormat="1">
      <c r="A324" s="6"/>
      <c r="B324" s="10"/>
      <c r="C324" s="192"/>
      <c r="D324" s="2"/>
      <c r="E324" s="133"/>
      <c r="F324" s="2"/>
      <c r="G324" s="105"/>
      <c r="H324" s="15"/>
      <c r="I324" s="25"/>
      <c r="J324" s="21"/>
      <c r="M324" s="29"/>
      <c r="N324" s="29"/>
      <c r="O324" s="29"/>
      <c r="Q324" s="89"/>
    </row>
    <row r="325" spans="1:17" s="5" customFormat="1">
      <c r="A325" s="6"/>
      <c r="B325" s="10"/>
      <c r="C325" s="74"/>
      <c r="D325" s="2"/>
      <c r="E325" s="135"/>
      <c r="F325" s="2"/>
      <c r="G325" s="105"/>
      <c r="H325" s="2"/>
      <c r="I325" s="25"/>
      <c r="J325" s="21"/>
      <c r="M325" s="29"/>
      <c r="N325" s="29"/>
      <c r="O325" s="29"/>
      <c r="Q325" s="89"/>
    </row>
    <row r="326" spans="1:17">
      <c r="B326" s="167"/>
      <c r="C326" s="180"/>
      <c r="H326" s="175"/>
    </row>
    <row r="327" spans="1:17" ht="57" customHeight="1">
      <c r="B327" s="167"/>
      <c r="H327" s="175"/>
      <c r="I327" s="136"/>
      <c r="J327" s="136"/>
      <c r="M327" s="136"/>
      <c r="N327" s="136"/>
      <c r="O327" s="136"/>
    </row>
    <row r="328" spans="1:17">
      <c r="B328" s="167"/>
      <c r="H328" s="175"/>
      <c r="I328" s="136"/>
      <c r="J328" s="136"/>
      <c r="M328" s="136"/>
      <c r="N328" s="136"/>
      <c r="O328" s="136"/>
    </row>
    <row r="329" spans="1:17">
      <c r="B329" s="167"/>
      <c r="C329" s="173"/>
      <c r="E329" s="135"/>
      <c r="H329" s="132"/>
      <c r="I329" s="136"/>
      <c r="J329" s="136"/>
      <c r="M329" s="136"/>
      <c r="N329" s="136"/>
      <c r="O329" s="136"/>
    </row>
    <row r="330" spans="1:17">
      <c r="B330" s="167"/>
      <c r="C330" s="173"/>
      <c r="H330" s="132"/>
      <c r="I330" s="136"/>
      <c r="J330" s="136"/>
      <c r="M330" s="136"/>
      <c r="N330" s="136"/>
      <c r="O330" s="136"/>
    </row>
    <row r="331" spans="1:17" s="5" customFormat="1">
      <c r="A331" s="6"/>
      <c r="B331" s="10"/>
      <c r="C331" s="2"/>
      <c r="D331" s="2"/>
      <c r="E331" s="133"/>
      <c r="F331" s="2"/>
      <c r="G331" s="105"/>
      <c r="H331" s="15"/>
      <c r="I331" s="25"/>
      <c r="J331" s="21"/>
      <c r="M331" s="29"/>
      <c r="N331" s="29"/>
      <c r="O331" s="29"/>
      <c r="Q331" s="89"/>
    </row>
    <row r="332" spans="1:17" s="5" customFormat="1">
      <c r="A332" s="6"/>
      <c r="B332" s="10"/>
      <c r="C332" s="2"/>
      <c r="D332" s="2"/>
      <c r="E332" s="133"/>
      <c r="F332" s="2"/>
      <c r="G332" s="105"/>
      <c r="H332" s="15"/>
      <c r="I332" s="25"/>
      <c r="J332" s="21"/>
      <c r="M332" s="29"/>
      <c r="N332" s="29"/>
      <c r="O332" s="29"/>
      <c r="Q332" s="89"/>
    </row>
    <row r="333" spans="1:17" s="5" customFormat="1">
      <c r="A333" s="6"/>
      <c r="B333" s="10"/>
      <c r="C333" s="4"/>
      <c r="D333" s="2"/>
      <c r="E333" s="133"/>
      <c r="F333" s="2"/>
      <c r="G333" s="105"/>
      <c r="H333" s="2"/>
      <c r="I333" s="25"/>
      <c r="J333" s="21"/>
      <c r="M333" s="29"/>
      <c r="N333" s="29"/>
      <c r="O333" s="29"/>
      <c r="Q333" s="89"/>
    </row>
    <row r="334" spans="1:17" s="5" customFormat="1">
      <c r="A334" s="6"/>
      <c r="B334" s="10"/>
      <c r="C334" s="4"/>
      <c r="D334" s="2"/>
      <c r="E334" s="133"/>
      <c r="F334" s="2"/>
      <c r="G334" s="105"/>
      <c r="H334" s="2"/>
      <c r="I334" s="25"/>
      <c r="J334" s="21"/>
      <c r="M334" s="29"/>
      <c r="N334" s="29"/>
      <c r="O334" s="29"/>
      <c r="Q334" s="89"/>
    </row>
    <row r="335" spans="1:17" s="5" customFormat="1" ht="105.95" customHeight="1">
      <c r="A335" s="6"/>
      <c r="B335" s="10"/>
      <c r="C335" s="192"/>
      <c r="D335" s="2"/>
      <c r="E335" s="133"/>
      <c r="F335" s="2"/>
      <c r="G335" s="105"/>
      <c r="H335" s="15"/>
      <c r="I335" s="25"/>
      <c r="J335" s="21"/>
      <c r="M335" s="29"/>
      <c r="N335" s="29"/>
      <c r="O335" s="29"/>
      <c r="Q335" s="89"/>
    </row>
    <row r="336" spans="1:17" s="5" customFormat="1">
      <c r="A336" s="6"/>
      <c r="B336" s="10"/>
      <c r="C336" s="192"/>
      <c r="D336" s="2"/>
      <c r="E336" s="133"/>
      <c r="F336" s="2"/>
      <c r="G336" s="105"/>
      <c r="H336" s="15"/>
      <c r="I336" s="25"/>
      <c r="J336" s="21"/>
      <c r="M336" s="29"/>
      <c r="N336" s="29"/>
      <c r="O336" s="29"/>
      <c r="Q336" s="89"/>
    </row>
    <row r="337" spans="1:17" s="5" customFormat="1">
      <c r="A337" s="6"/>
      <c r="B337" s="10"/>
      <c r="C337" s="74"/>
      <c r="D337" s="2"/>
      <c r="E337" s="133"/>
      <c r="F337" s="2"/>
      <c r="G337" s="105"/>
      <c r="H337" s="2"/>
      <c r="I337" s="25"/>
      <c r="J337" s="21"/>
      <c r="M337" s="29"/>
      <c r="N337" s="29"/>
      <c r="O337" s="29"/>
      <c r="Q337" s="89"/>
    </row>
    <row r="338" spans="1:17" s="5" customFormat="1">
      <c r="A338" s="6"/>
      <c r="B338" s="10"/>
      <c r="C338" s="2"/>
      <c r="D338" s="2"/>
      <c r="E338" s="133"/>
      <c r="F338" s="2"/>
      <c r="G338" s="105"/>
      <c r="H338" s="2"/>
      <c r="I338" s="25"/>
      <c r="J338" s="21"/>
      <c r="M338" s="29"/>
      <c r="N338" s="29"/>
      <c r="O338" s="29"/>
      <c r="Q338" s="89"/>
    </row>
    <row r="339" spans="1:17" s="5" customFormat="1" ht="125.25" customHeight="1">
      <c r="A339" s="6"/>
      <c r="B339" s="10"/>
      <c r="C339" s="192"/>
      <c r="D339" s="2"/>
      <c r="E339" s="133"/>
      <c r="F339" s="2"/>
      <c r="G339" s="105"/>
      <c r="H339" s="15"/>
      <c r="I339" s="25"/>
      <c r="J339" s="21"/>
      <c r="M339" s="29"/>
      <c r="N339" s="29"/>
      <c r="O339" s="29"/>
      <c r="Q339" s="89"/>
    </row>
    <row r="340" spans="1:17" s="5" customFormat="1">
      <c r="A340" s="6"/>
      <c r="B340" s="10"/>
      <c r="C340" s="192"/>
      <c r="D340" s="2"/>
      <c r="E340" s="133"/>
      <c r="F340" s="2"/>
      <c r="G340" s="105"/>
      <c r="H340" s="15"/>
      <c r="I340" s="25"/>
      <c r="J340" s="21"/>
      <c r="M340" s="29"/>
      <c r="N340" s="29"/>
      <c r="O340" s="29"/>
      <c r="Q340" s="89"/>
    </row>
    <row r="341" spans="1:17" s="5" customFormat="1">
      <c r="A341" s="6"/>
      <c r="B341" s="10"/>
      <c r="C341" s="74"/>
      <c r="D341" s="2"/>
      <c r="E341" s="133"/>
      <c r="F341" s="2"/>
      <c r="G341" s="105"/>
      <c r="H341" s="2"/>
      <c r="I341" s="25"/>
      <c r="J341" s="21"/>
      <c r="M341" s="29"/>
      <c r="N341" s="29"/>
      <c r="O341" s="29"/>
      <c r="Q341" s="89"/>
    </row>
    <row r="342" spans="1:17" s="5" customFormat="1">
      <c r="A342" s="6"/>
      <c r="B342" s="10"/>
      <c r="C342" s="74"/>
      <c r="D342" s="2"/>
      <c r="E342" s="133"/>
      <c r="F342" s="2"/>
      <c r="G342" s="105"/>
      <c r="H342" s="2"/>
      <c r="I342" s="25"/>
      <c r="J342" s="21"/>
      <c r="M342" s="29"/>
      <c r="N342" s="29"/>
      <c r="O342" s="29"/>
      <c r="Q342" s="89"/>
    </row>
    <row r="343" spans="1:17" s="5" customFormat="1" ht="125.25" customHeight="1">
      <c r="A343" s="6"/>
      <c r="B343" s="10"/>
      <c r="C343" s="192"/>
      <c r="D343" s="2"/>
      <c r="E343" s="133"/>
      <c r="F343" s="2"/>
      <c r="G343" s="105"/>
      <c r="H343" s="15"/>
      <c r="I343" s="25"/>
      <c r="J343" s="21"/>
      <c r="M343" s="29"/>
      <c r="N343" s="29"/>
      <c r="O343" s="29"/>
      <c r="Q343" s="89"/>
    </row>
    <row r="344" spans="1:17" s="5" customFormat="1">
      <c r="A344" s="6"/>
      <c r="B344" s="10"/>
      <c r="C344" s="192"/>
      <c r="D344" s="2"/>
      <c r="E344" s="133"/>
      <c r="F344" s="2"/>
      <c r="G344" s="105"/>
      <c r="H344" s="15"/>
      <c r="I344" s="25"/>
      <c r="J344" s="21"/>
      <c r="M344" s="29"/>
      <c r="N344" s="29"/>
      <c r="O344" s="29"/>
      <c r="Q344" s="89"/>
    </row>
    <row r="345" spans="1:17" s="5" customFormat="1">
      <c r="A345" s="6"/>
      <c r="B345" s="10"/>
      <c r="C345" s="74"/>
      <c r="D345" s="2"/>
      <c r="E345" s="133"/>
      <c r="F345" s="2"/>
      <c r="G345" s="105"/>
      <c r="H345" s="2"/>
      <c r="I345" s="25"/>
      <c r="J345" s="21"/>
      <c r="M345" s="29"/>
      <c r="N345" s="29"/>
      <c r="O345" s="29"/>
      <c r="Q345" s="89"/>
    </row>
    <row r="346" spans="1:17" s="5" customFormat="1">
      <c r="A346" s="6"/>
      <c r="B346" s="10"/>
      <c r="C346" s="74"/>
      <c r="D346" s="2"/>
      <c r="E346" s="133"/>
      <c r="F346" s="2"/>
      <c r="G346" s="105"/>
      <c r="H346" s="2"/>
      <c r="I346" s="25"/>
      <c r="J346" s="21"/>
      <c r="M346" s="29"/>
      <c r="N346" s="29"/>
      <c r="O346" s="29"/>
      <c r="Q346" s="89"/>
    </row>
    <row r="347" spans="1:17" s="5" customFormat="1" ht="123.95" customHeight="1">
      <c r="A347" s="6"/>
      <c r="B347" s="10"/>
      <c r="C347" s="192"/>
      <c r="D347" s="2"/>
      <c r="E347" s="133"/>
      <c r="F347" s="2"/>
      <c r="G347" s="105"/>
      <c r="H347" s="15"/>
      <c r="I347" s="25"/>
      <c r="J347" s="21"/>
      <c r="M347" s="29"/>
      <c r="N347" s="29"/>
      <c r="O347" s="29"/>
      <c r="Q347" s="89"/>
    </row>
    <row r="348" spans="1:17" s="5" customFormat="1">
      <c r="A348" s="6"/>
      <c r="B348" s="10"/>
      <c r="C348" s="192"/>
      <c r="D348" s="2"/>
      <c r="E348" s="133"/>
      <c r="F348" s="2"/>
      <c r="G348" s="105"/>
      <c r="H348" s="15"/>
      <c r="I348" s="25"/>
      <c r="J348" s="21"/>
      <c r="M348" s="29"/>
      <c r="N348" s="29"/>
      <c r="O348" s="29"/>
      <c r="Q348" s="89"/>
    </row>
    <row r="349" spans="1:17" s="5" customFormat="1">
      <c r="A349" s="6"/>
      <c r="B349" s="10"/>
      <c r="C349" s="74"/>
      <c r="D349" s="2"/>
      <c r="E349" s="133"/>
      <c r="F349" s="2"/>
      <c r="G349" s="105"/>
      <c r="H349" s="2"/>
      <c r="I349" s="25"/>
      <c r="J349" s="21"/>
      <c r="M349" s="29"/>
      <c r="N349" s="29"/>
      <c r="O349" s="29"/>
      <c r="Q349" s="89"/>
    </row>
    <row r="350" spans="1:17" s="5" customFormat="1">
      <c r="A350" s="6"/>
      <c r="B350" s="10"/>
      <c r="C350" s="74"/>
      <c r="D350" s="2"/>
      <c r="E350" s="133"/>
      <c r="F350" s="2"/>
      <c r="G350" s="105"/>
      <c r="H350" s="2"/>
      <c r="I350" s="25"/>
      <c r="J350" s="21"/>
      <c r="M350" s="29"/>
      <c r="N350" s="29"/>
      <c r="O350" s="29"/>
      <c r="Q350" s="89"/>
    </row>
    <row r="351" spans="1:17" s="5" customFormat="1" ht="125.25" customHeight="1">
      <c r="A351" s="6"/>
      <c r="B351" s="10"/>
      <c r="C351" s="192"/>
      <c r="D351" s="2"/>
      <c r="E351" s="133"/>
      <c r="F351" s="2"/>
      <c r="G351" s="105"/>
      <c r="H351" s="15"/>
      <c r="I351" s="25"/>
      <c r="J351" s="21"/>
      <c r="M351" s="29"/>
      <c r="N351" s="29"/>
      <c r="O351" s="29"/>
      <c r="Q351" s="89"/>
    </row>
    <row r="352" spans="1:17" s="5" customFormat="1">
      <c r="A352" s="6"/>
      <c r="B352" s="10"/>
      <c r="C352" s="192"/>
      <c r="D352" s="2"/>
      <c r="E352" s="133"/>
      <c r="F352" s="2"/>
      <c r="G352" s="105"/>
      <c r="H352" s="15"/>
      <c r="I352" s="25"/>
      <c r="J352" s="21"/>
      <c r="M352" s="29"/>
      <c r="N352" s="29"/>
      <c r="O352" s="29"/>
      <c r="Q352" s="89"/>
    </row>
    <row r="353" spans="1:17" s="5" customFormat="1">
      <c r="A353" s="6"/>
      <c r="B353" s="10"/>
      <c r="C353" s="74"/>
      <c r="D353" s="2"/>
      <c r="E353" s="133"/>
      <c r="F353" s="2"/>
      <c r="G353" s="105"/>
      <c r="H353" s="2"/>
      <c r="I353" s="25"/>
      <c r="J353" s="21"/>
      <c r="M353" s="29"/>
      <c r="N353" s="29"/>
      <c r="O353" s="29"/>
      <c r="Q353" s="89"/>
    </row>
    <row r="354" spans="1:17" s="5" customFormat="1">
      <c r="A354" s="6"/>
      <c r="B354" s="10"/>
      <c r="C354" s="74"/>
      <c r="D354" s="2"/>
      <c r="E354" s="133"/>
      <c r="F354" s="2"/>
      <c r="G354" s="105"/>
      <c r="H354" s="2"/>
      <c r="I354" s="25"/>
      <c r="J354" s="21"/>
      <c r="M354" s="29"/>
      <c r="N354" s="29"/>
      <c r="O354" s="29"/>
      <c r="Q354" s="89"/>
    </row>
    <row r="355" spans="1:17" s="5" customFormat="1" ht="123" customHeight="1">
      <c r="A355" s="6"/>
      <c r="B355" s="10"/>
      <c r="C355" s="192"/>
      <c r="D355" s="2"/>
      <c r="E355" s="133"/>
      <c r="F355" s="2"/>
      <c r="G355" s="105"/>
      <c r="H355" s="15"/>
      <c r="I355" s="25"/>
      <c r="J355" s="21"/>
      <c r="M355" s="29"/>
      <c r="N355" s="29"/>
      <c r="O355" s="29"/>
      <c r="Q355" s="89"/>
    </row>
    <row r="356" spans="1:17" s="5" customFormat="1">
      <c r="A356" s="6"/>
      <c r="B356" s="10"/>
      <c r="C356" s="192"/>
      <c r="D356" s="2"/>
      <c r="E356" s="133"/>
      <c r="F356" s="2"/>
      <c r="G356" s="105"/>
      <c r="H356" s="15"/>
      <c r="I356" s="25"/>
      <c r="J356" s="21"/>
      <c r="M356" s="29"/>
      <c r="N356" s="29"/>
      <c r="O356" s="29"/>
      <c r="Q356" s="89"/>
    </row>
    <row r="357" spans="1:17" s="5" customFormat="1">
      <c r="A357" s="6"/>
      <c r="B357" s="10"/>
      <c r="C357" s="74"/>
      <c r="D357" s="2"/>
      <c r="E357" s="133"/>
      <c r="F357" s="2"/>
      <c r="G357" s="105"/>
      <c r="H357" s="2"/>
      <c r="I357" s="25"/>
      <c r="J357" s="21"/>
      <c r="M357" s="29"/>
      <c r="N357" s="29"/>
      <c r="O357" s="29"/>
      <c r="Q357" s="89"/>
    </row>
    <row r="358" spans="1:17" s="5" customFormat="1">
      <c r="A358" s="6"/>
      <c r="B358" s="10"/>
      <c r="C358" s="74"/>
      <c r="D358" s="2"/>
      <c r="E358" s="133"/>
      <c r="F358" s="2"/>
      <c r="G358" s="105"/>
      <c r="H358" s="2"/>
      <c r="I358" s="25"/>
      <c r="J358" s="21"/>
      <c r="M358" s="29"/>
      <c r="N358" s="29"/>
      <c r="O358" s="29"/>
      <c r="Q358" s="89"/>
    </row>
    <row r="359" spans="1:17" s="5" customFormat="1" ht="119.25" customHeight="1">
      <c r="A359" s="6"/>
      <c r="B359" s="10"/>
      <c r="C359" s="192"/>
      <c r="D359" s="2"/>
      <c r="E359" s="133"/>
      <c r="F359" s="2"/>
      <c r="G359" s="105"/>
      <c r="H359" s="15"/>
      <c r="I359" s="25"/>
      <c r="J359" s="21"/>
      <c r="M359" s="29"/>
      <c r="N359" s="29"/>
      <c r="O359" s="29"/>
      <c r="Q359" s="89"/>
    </row>
    <row r="360" spans="1:17" s="5" customFormat="1">
      <c r="A360" s="6"/>
      <c r="B360" s="10"/>
      <c r="C360" s="192"/>
      <c r="D360" s="2"/>
      <c r="E360" s="133"/>
      <c r="F360" s="2"/>
      <c r="G360" s="105"/>
      <c r="H360" s="15"/>
      <c r="I360" s="25"/>
      <c r="J360" s="21"/>
      <c r="M360" s="29"/>
      <c r="N360" s="29"/>
      <c r="O360" s="29"/>
      <c r="Q360" s="89"/>
    </row>
    <row r="361" spans="1:17" s="5" customFormat="1">
      <c r="A361" s="6"/>
      <c r="B361" s="10"/>
      <c r="C361" s="74"/>
      <c r="D361" s="2"/>
      <c r="E361" s="133"/>
      <c r="F361" s="2"/>
      <c r="G361" s="105"/>
      <c r="H361" s="2"/>
      <c r="I361" s="25"/>
      <c r="J361" s="21"/>
      <c r="M361" s="29"/>
      <c r="N361" s="29"/>
      <c r="O361" s="29"/>
      <c r="Q361" s="89"/>
    </row>
    <row r="362" spans="1:17" s="5" customFormat="1">
      <c r="A362" s="6"/>
      <c r="B362" s="10"/>
      <c r="C362" s="192"/>
      <c r="D362" s="2"/>
      <c r="E362" s="133"/>
      <c r="F362" s="2"/>
      <c r="G362" s="105"/>
      <c r="H362" s="2"/>
      <c r="I362" s="25"/>
      <c r="J362" s="21"/>
      <c r="M362" s="29"/>
      <c r="N362" s="29"/>
      <c r="O362" s="29"/>
      <c r="Q362" s="89"/>
    </row>
    <row r="363" spans="1:17" s="5" customFormat="1" ht="100.5" customHeight="1">
      <c r="A363" s="6"/>
      <c r="B363" s="10"/>
      <c r="C363" s="192"/>
      <c r="D363" s="2"/>
      <c r="E363" s="133"/>
      <c r="F363" s="2"/>
      <c r="G363" s="105"/>
      <c r="H363" s="15"/>
      <c r="I363" s="25"/>
      <c r="J363" s="21"/>
      <c r="M363" s="29"/>
      <c r="N363" s="29"/>
      <c r="O363" s="29"/>
      <c r="Q363" s="89"/>
    </row>
    <row r="364" spans="1:17" s="5" customFormat="1">
      <c r="A364" s="6"/>
      <c r="B364" s="10"/>
      <c r="C364" s="192"/>
      <c r="D364" s="2"/>
      <c r="E364" s="133"/>
      <c r="F364" s="2"/>
      <c r="G364" s="105"/>
      <c r="H364" s="15"/>
      <c r="I364" s="25"/>
      <c r="J364" s="21"/>
      <c r="M364" s="29"/>
      <c r="N364" s="29"/>
      <c r="O364" s="29"/>
      <c r="Q364" s="89"/>
    </row>
    <row r="365" spans="1:17" s="5" customFormat="1">
      <c r="A365" s="6"/>
      <c r="B365" s="10"/>
      <c r="C365" s="74"/>
      <c r="D365" s="2"/>
      <c r="E365" s="133"/>
      <c r="F365" s="2"/>
      <c r="G365" s="105"/>
      <c r="H365" s="2"/>
      <c r="I365" s="25"/>
      <c r="J365" s="21"/>
      <c r="M365" s="29"/>
      <c r="N365" s="29"/>
      <c r="O365" s="29"/>
      <c r="Q365" s="89"/>
    </row>
    <row r="366" spans="1:17" s="5" customFormat="1">
      <c r="A366" s="6"/>
      <c r="B366" s="10"/>
      <c r="C366" s="2"/>
      <c r="D366" s="2"/>
      <c r="E366" s="133"/>
      <c r="F366" s="2"/>
      <c r="G366" s="105"/>
      <c r="H366" s="2"/>
      <c r="I366" s="25"/>
      <c r="J366" s="21"/>
      <c r="M366" s="29"/>
      <c r="N366" s="29"/>
      <c r="O366" s="29"/>
      <c r="Q366" s="89"/>
    </row>
    <row r="367" spans="1:17" s="5" customFormat="1" ht="99.75" customHeight="1">
      <c r="A367" s="6"/>
      <c r="B367" s="10"/>
      <c r="C367" s="192"/>
      <c r="D367" s="2"/>
      <c r="E367" s="133"/>
      <c r="F367" s="2"/>
      <c r="G367" s="105"/>
      <c r="H367" s="15"/>
      <c r="I367" s="25"/>
      <c r="J367" s="21"/>
      <c r="M367" s="29"/>
      <c r="N367" s="29"/>
      <c r="O367" s="29"/>
      <c r="Q367" s="89"/>
    </row>
    <row r="368" spans="1:17" s="5" customFormat="1">
      <c r="A368" s="6"/>
      <c r="B368" s="10"/>
      <c r="C368" s="192"/>
      <c r="D368" s="2"/>
      <c r="E368" s="133"/>
      <c r="F368" s="2"/>
      <c r="G368" s="105"/>
      <c r="H368" s="15"/>
      <c r="I368" s="25"/>
      <c r="J368" s="21"/>
      <c r="M368" s="29"/>
      <c r="N368" s="29"/>
      <c r="O368" s="29"/>
      <c r="Q368" s="89"/>
    </row>
    <row r="369" spans="1:17" s="5" customFormat="1">
      <c r="A369" s="6"/>
      <c r="B369" s="10"/>
      <c r="C369" s="74"/>
      <c r="D369" s="2"/>
      <c r="E369" s="133"/>
      <c r="F369" s="2"/>
      <c r="G369" s="105"/>
      <c r="H369" s="2"/>
      <c r="I369" s="25"/>
      <c r="J369" s="21"/>
      <c r="M369" s="29"/>
      <c r="N369" s="29"/>
      <c r="O369" s="29"/>
      <c r="Q369" s="89"/>
    </row>
    <row r="370" spans="1:17" s="5" customFormat="1">
      <c r="A370" s="6"/>
      <c r="B370" s="10"/>
      <c r="C370" s="192"/>
      <c r="D370" s="2"/>
      <c r="E370" s="133"/>
      <c r="F370" s="2"/>
      <c r="G370" s="105"/>
      <c r="H370" s="2"/>
      <c r="I370" s="25"/>
      <c r="J370" s="21"/>
      <c r="M370" s="29"/>
      <c r="N370" s="29"/>
      <c r="O370" s="29"/>
      <c r="Q370" s="89"/>
    </row>
    <row r="371" spans="1:17" s="5" customFormat="1" ht="99.2" customHeight="1">
      <c r="A371" s="6"/>
      <c r="B371" s="10"/>
      <c r="C371" s="192"/>
      <c r="D371" s="2"/>
      <c r="E371" s="133"/>
      <c r="F371" s="2"/>
      <c r="G371" s="105"/>
      <c r="H371" s="15"/>
      <c r="I371" s="25"/>
      <c r="J371" s="21"/>
      <c r="M371" s="29"/>
      <c r="N371" s="29"/>
      <c r="O371" s="29"/>
      <c r="Q371" s="89"/>
    </row>
    <row r="372" spans="1:17" s="5" customFormat="1">
      <c r="A372" s="6"/>
      <c r="B372" s="10"/>
      <c r="C372" s="192"/>
      <c r="D372" s="2"/>
      <c r="E372" s="133"/>
      <c r="F372" s="2"/>
      <c r="G372" s="105"/>
      <c r="H372" s="15"/>
      <c r="I372" s="25"/>
      <c r="J372" s="21"/>
      <c r="M372" s="29"/>
      <c r="N372" s="29"/>
      <c r="O372" s="29"/>
      <c r="Q372" s="89"/>
    </row>
    <row r="373" spans="1:17" s="5" customFormat="1">
      <c r="A373" s="6"/>
      <c r="B373" s="10"/>
      <c r="C373" s="74"/>
      <c r="D373" s="2"/>
      <c r="E373" s="133"/>
      <c r="F373" s="2"/>
      <c r="G373" s="105"/>
      <c r="H373" s="2"/>
      <c r="I373" s="25"/>
      <c r="J373" s="21"/>
      <c r="M373" s="29"/>
      <c r="N373" s="29"/>
      <c r="O373" s="29"/>
      <c r="Q373" s="89"/>
    </row>
    <row r="374" spans="1:17" s="5" customFormat="1">
      <c r="A374" s="6"/>
      <c r="B374" s="10"/>
      <c r="C374" s="2"/>
      <c r="D374" s="2"/>
      <c r="E374" s="133"/>
      <c r="F374" s="2"/>
      <c r="G374" s="105"/>
      <c r="H374" s="2"/>
      <c r="I374" s="25"/>
      <c r="J374" s="21"/>
      <c r="M374" s="29"/>
      <c r="N374" s="29"/>
      <c r="O374" s="29"/>
      <c r="Q374" s="89"/>
    </row>
    <row r="375" spans="1:17" s="5" customFormat="1" ht="97.5" customHeight="1">
      <c r="A375" s="6"/>
      <c r="B375" s="10"/>
      <c r="C375" s="192"/>
      <c r="D375" s="2"/>
      <c r="E375" s="133"/>
      <c r="F375" s="2"/>
      <c r="G375" s="105"/>
      <c r="H375" s="15"/>
      <c r="I375" s="25"/>
      <c r="J375" s="21"/>
      <c r="M375" s="29"/>
      <c r="N375" s="29"/>
      <c r="O375" s="29"/>
      <c r="Q375" s="89"/>
    </row>
    <row r="376" spans="1:17" s="5" customFormat="1">
      <c r="A376" s="6"/>
      <c r="B376" s="10"/>
      <c r="C376" s="192"/>
      <c r="D376" s="2"/>
      <c r="E376" s="133"/>
      <c r="F376" s="2"/>
      <c r="G376" s="105"/>
      <c r="H376" s="15"/>
      <c r="I376" s="25"/>
      <c r="J376" s="21"/>
      <c r="M376" s="29"/>
      <c r="N376" s="29"/>
      <c r="O376" s="29"/>
      <c r="Q376" s="89"/>
    </row>
    <row r="377" spans="1:17" s="5" customFormat="1">
      <c r="A377" s="6"/>
      <c r="B377" s="10"/>
      <c r="C377" s="74"/>
      <c r="D377" s="2"/>
      <c r="E377" s="133"/>
      <c r="F377" s="2"/>
      <c r="G377" s="105"/>
      <c r="H377" s="2"/>
      <c r="I377" s="25"/>
      <c r="J377" s="21"/>
      <c r="M377" s="29"/>
      <c r="N377" s="29"/>
      <c r="O377" s="29"/>
      <c r="Q377" s="89"/>
    </row>
    <row r="378" spans="1:17" s="5" customFormat="1">
      <c r="A378" s="6"/>
      <c r="B378" s="10"/>
      <c r="C378" s="192"/>
      <c r="D378" s="2"/>
      <c r="E378" s="133"/>
      <c r="F378" s="2"/>
      <c r="G378" s="105"/>
      <c r="H378" s="2"/>
      <c r="I378" s="25"/>
      <c r="J378" s="21"/>
      <c r="M378" s="29"/>
      <c r="N378" s="29"/>
      <c r="O378" s="29"/>
      <c r="Q378" s="89"/>
    </row>
    <row r="379" spans="1:17" s="5" customFormat="1" ht="97.5" customHeight="1">
      <c r="A379" s="6"/>
      <c r="B379" s="10"/>
      <c r="C379" s="192"/>
      <c r="D379" s="2"/>
      <c r="E379" s="133"/>
      <c r="F379" s="2"/>
      <c r="G379" s="105"/>
      <c r="H379" s="15"/>
      <c r="I379" s="25"/>
      <c r="J379" s="21"/>
      <c r="M379" s="29"/>
      <c r="N379" s="29"/>
      <c r="O379" s="29"/>
      <c r="Q379" s="89"/>
    </row>
    <row r="380" spans="1:17" s="5" customFormat="1">
      <c r="A380" s="6"/>
      <c r="B380" s="10"/>
      <c r="C380" s="192"/>
      <c r="D380" s="2"/>
      <c r="E380" s="133"/>
      <c r="F380" s="2"/>
      <c r="G380" s="105"/>
      <c r="H380" s="15"/>
      <c r="I380" s="25"/>
      <c r="J380" s="21"/>
      <c r="M380" s="29"/>
      <c r="N380" s="29"/>
      <c r="O380" s="29"/>
      <c r="Q380" s="89"/>
    </row>
    <row r="381" spans="1:17" s="5" customFormat="1">
      <c r="A381" s="6"/>
      <c r="B381" s="10"/>
      <c r="C381" s="74"/>
      <c r="D381" s="2"/>
      <c r="E381" s="133"/>
      <c r="F381" s="2"/>
      <c r="G381" s="105"/>
      <c r="H381" s="2"/>
      <c r="I381" s="25"/>
      <c r="J381" s="21"/>
      <c r="M381" s="29"/>
      <c r="N381" s="29"/>
      <c r="O381" s="29"/>
      <c r="Q381" s="89"/>
    </row>
    <row r="382" spans="1:17" s="5" customFormat="1">
      <c r="A382" s="6"/>
      <c r="B382" s="10"/>
      <c r="C382" s="2"/>
      <c r="D382" s="2"/>
      <c r="E382" s="133"/>
      <c r="F382" s="2"/>
      <c r="G382" s="105"/>
      <c r="H382" s="2"/>
      <c r="I382" s="25"/>
      <c r="J382" s="21"/>
      <c r="M382" s="29"/>
      <c r="N382" s="29"/>
      <c r="O382" s="29"/>
      <c r="Q382" s="89"/>
    </row>
    <row r="383" spans="1:17" s="5" customFormat="1" ht="98.25" customHeight="1">
      <c r="A383" s="6"/>
      <c r="B383" s="10"/>
      <c r="C383" s="192"/>
      <c r="D383" s="2"/>
      <c r="E383" s="133"/>
      <c r="F383" s="2"/>
      <c r="G383" s="105"/>
      <c r="H383" s="15"/>
      <c r="I383" s="25"/>
      <c r="J383" s="21"/>
      <c r="M383" s="29"/>
      <c r="N383" s="29"/>
      <c r="O383" s="29"/>
      <c r="Q383" s="89"/>
    </row>
    <row r="384" spans="1:17" s="5" customFormat="1">
      <c r="A384" s="6"/>
      <c r="B384" s="10"/>
      <c r="C384" s="192"/>
      <c r="D384" s="2"/>
      <c r="E384" s="133"/>
      <c r="F384" s="2"/>
      <c r="G384" s="105"/>
      <c r="H384" s="15"/>
      <c r="I384" s="25"/>
      <c r="J384" s="21"/>
      <c r="M384" s="29"/>
      <c r="N384" s="29"/>
      <c r="O384" s="29"/>
      <c r="Q384" s="89"/>
    </row>
    <row r="385" spans="1:17" s="5" customFormat="1">
      <c r="A385" s="6"/>
      <c r="B385" s="10"/>
      <c r="C385" s="74"/>
      <c r="D385" s="2"/>
      <c r="E385" s="133"/>
      <c r="F385" s="2"/>
      <c r="G385" s="105"/>
      <c r="H385" s="2"/>
      <c r="I385" s="25"/>
      <c r="J385" s="21"/>
      <c r="M385" s="29"/>
      <c r="N385" s="29"/>
      <c r="O385" s="29"/>
      <c r="Q385" s="89"/>
    </row>
    <row r="386" spans="1:17" s="5" customFormat="1">
      <c r="A386" s="6"/>
      <c r="B386" s="10"/>
      <c r="C386" s="192"/>
      <c r="D386" s="2"/>
      <c r="E386" s="133"/>
      <c r="F386" s="2"/>
      <c r="G386" s="105"/>
      <c r="H386" s="2"/>
      <c r="I386" s="25"/>
      <c r="J386" s="21"/>
      <c r="M386" s="29"/>
      <c r="N386" s="29"/>
      <c r="O386" s="29"/>
      <c r="Q386" s="89"/>
    </row>
    <row r="387" spans="1:17" s="5" customFormat="1" ht="97.5" customHeight="1">
      <c r="A387" s="6"/>
      <c r="B387" s="10"/>
      <c r="C387" s="192"/>
      <c r="D387" s="2"/>
      <c r="E387" s="133"/>
      <c r="F387" s="2"/>
      <c r="G387" s="105"/>
      <c r="H387" s="15"/>
      <c r="I387" s="25"/>
      <c r="J387" s="21"/>
      <c r="M387" s="29"/>
      <c r="N387" s="29"/>
      <c r="O387" s="29"/>
      <c r="Q387" s="89"/>
    </row>
    <row r="388" spans="1:17" s="5" customFormat="1">
      <c r="A388" s="6"/>
      <c r="B388" s="10"/>
      <c r="C388" s="192"/>
      <c r="D388" s="2"/>
      <c r="E388" s="133"/>
      <c r="F388" s="2"/>
      <c r="G388" s="105"/>
      <c r="H388" s="15"/>
      <c r="I388" s="25"/>
      <c r="J388" s="21"/>
      <c r="M388" s="29"/>
      <c r="N388" s="29"/>
      <c r="O388" s="29"/>
      <c r="Q388" s="89"/>
    </row>
    <row r="389" spans="1:17" s="5" customFormat="1">
      <c r="A389" s="6"/>
      <c r="B389" s="10"/>
      <c r="C389" s="74"/>
      <c r="D389" s="2"/>
      <c r="E389" s="133"/>
      <c r="F389" s="2"/>
      <c r="G389" s="105"/>
      <c r="H389" s="2"/>
      <c r="I389" s="25"/>
      <c r="J389" s="21"/>
      <c r="M389" s="29"/>
      <c r="N389" s="29"/>
      <c r="O389" s="29"/>
      <c r="Q389" s="89"/>
    </row>
    <row r="390" spans="1:17" s="5" customFormat="1">
      <c r="A390" s="6"/>
      <c r="B390" s="10"/>
      <c r="C390" s="192"/>
      <c r="D390" s="2"/>
      <c r="E390" s="133"/>
      <c r="F390" s="2"/>
      <c r="G390" s="105"/>
      <c r="H390" s="2"/>
      <c r="I390" s="25"/>
      <c r="J390" s="21"/>
      <c r="M390" s="29"/>
      <c r="N390" s="29"/>
      <c r="O390" s="29"/>
      <c r="Q390" s="89"/>
    </row>
    <row r="391" spans="1:17" s="5" customFormat="1" ht="99.2" customHeight="1">
      <c r="A391" s="6"/>
      <c r="B391" s="10"/>
      <c r="C391" s="192"/>
      <c r="D391" s="2"/>
      <c r="E391" s="133"/>
      <c r="F391" s="2"/>
      <c r="G391" s="105"/>
      <c r="H391" s="15"/>
      <c r="I391" s="25"/>
      <c r="J391" s="21"/>
      <c r="K391" s="10"/>
      <c r="M391" s="29"/>
      <c r="N391" s="29"/>
      <c r="O391" s="29"/>
      <c r="Q391" s="89"/>
    </row>
    <row r="392" spans="1:17" s="5" customFormat="1">
      <c r="A392" s="6"/>
      <c r="B392" s="10"/>
      <c r="C392" s="192"/>
      <c r="D392" s="2"/>
      <c r="E392" s="133"/>
      <c r="F392" s="2"/>
      <c r="G392" s="105"/>
      <c r="H392" s="15"/>
      <c r="I392" s="25"/>
      <c r="J392" s="21"/>
      <c r="M392" s="29"/>
      <c r="N392" s="29"/>
      <c r="O392" s="29"/>
      <c r="Q392" s="89"/>
    </row>
    <row r="393" spans="1:17" s="5" customFormat="1">
      <c r="A393" s="6"/>
      <c r="B393" s="10"/>
      <c r="C393" s="74"/>
      <c r="D393" s="2"/>
      <c r="E393" s="133"/>
      <c r="F393" s="2"/>
      <c r="G393" s="105"/>
      <c r="H393" s="2"/>
      <c r="I393" s="25"/>
      <c r="J393" s="21"/>
      <c r="M393" s="29"/>
      <c r="N393" s="29"/>
      <c r="O393" s="29"/>
      <c r="Q393" s="89"/>
    </row>
    <row r="394" spans="1:17" s="5" customFormat="1">
      <c r="A394" s="6"/>
      <c r="B394" s="10"/>
      <c r="C394" s="4"/>
      <c r="D394" s="2"/>
      <c r="E394" s="133"/>
      <c r="F394" s="2"/>
      <c r="G394" s="105"/>
      <c r="H394" s="2"/>
      <c r="I394" s="25"/>
      <c r="J394" s="21"/>
      <c r="M394" s="29"/>
      <c r="N394" s="29"/>
      <c r="O394" s="29"/>
      <c r="Q394" s="89"/>
    </row>
    <row r="395" spans="1:17" s="5" customFormat="1" ht="96" customHeight="1">
      <c r="A395" s="6"/>
      <c r="B395" s="10"/>
      <c r="C395" s="192"/>
      <c r="D395" s="2"/>
      <c r="E395" s="133"/>
      <c r="F395" s="2"/>
      <c r="G395" s="105"/>
      <c r="H395" s="15"/>
      <c r="I395" s="25"/>
      <c r="J395" s="21"/>
      <c r="M395" s="29"/>
      <c r="N395" s="29"/>
      <c r="O395" s="29"/>
      <c r="Q395" s="89"/>
    </row>
    <row r="396" spans="1:17" s="5" customFormat="1">
      <c r="A396" s="6"/>
      <c r="B396" s="10"/>
      <c r="C396" s="192"/>
      <c r="D396" s="2"/>
      <c r="E396" s="133"/>
      <c r="F396" s="2"/>
      <c r="G396" s="105"/>
      <c r="H396" s="15"/>
      <c r="I396" s="25"/>
      <c r="J396" s="21"/>
      <c r="M396" s="29"/>
      <c r="N396" s="29"/>
      <c r="O396" s="29"/>
      <c r="Q396" s="89"/>
    </row>
    <row r="397" spans="1:17" s="5" customFormat="1">
      <c r="A397" s="6"/>
      <c r="B397" s="10"/>
      <c r="C397" s="74"/>
      <c r="D397" s="2"/>
      <c r="E397" s="133"/>
      <c r="F397" s="2"/>
      <c r="G397" s="105"/>
      <c r="H397" s="2"/>
      <c r="I397" s="25"/>
      <c r="J397" s="21"/>
      <c r="M397" s="29"/>
      <c r="N397" s="29"/>
      <c r="O397" s="29"/>
      <c r="Q397" s="89"/>
    </row>
    <row r="398" spans="1:17" s="5" customFormat="1">
      <c r="A398" s="6"/>
      <c r="B398" s="10"/>
      <c r="C398" s="192"/>
      <c r="D398" s="2"/>
      <c r="E398" s="133"/>
      <c r="F398" s="2"/>
      <c r="G398" s="105"/>
      <c r="H398" s="2"/>
      <c r="I398" s="25"/>
      <c r="J398" s="21"/>
      <c r="M398" s="29"/>
      <c r="N398" s="29"/>
      <c r="O398" s="29"/>
      <c r="Q398" s="89"/>
    </row>
    <row r="399" spans="1:17" s="5" customFormat="1" ht="96.75" customHeight="1">
      <c r="A399" s="6"/>
      <c r="B399" s="10"/>
      <c r="C399" s="192"/>
      <c r="D399" s="2"/>
      <c r="E399" s="133"/>
      <c r="F399" s="2"/>
      <c r="G399" s="105"/>
      <c r="H399" s="15"/>
      <c r="I399" s="25"/>
      <c r="J399" s="21"/>
      <c r="M399" s="29"/>
      <c r="N399" s="29"/>
      <c r="O399" s="29"/>
      <c r="Q399" s="89"/>
    </row>
    <row r="400" spans="1:17" s="5" customFormat="1">
      <c r="A400" s="6"/>
      <c r="B400" s="10"/>
      <c r="C400" s="192"/>
      <c r="D400" s="2"/>
      <c r="E400" s="133"/>
      <c r="F400" s="2"/>
      <c r="G400" s="105"/>
      <c r="H400" s="15"/>
      <c r="I400" s="25"/>
      <c r="J400" s="21"/>
      <c r="M400" s="29"/>
      <c r="N400" s="29"/>
      <c r="O400" s="29"/>
      <c r="Q400" s="89"/>
    </row>
    <row r="401" spans="1:17" s="5" customFormat="1">
      <c r="A401" s="6"/>
      <c r="B401" s="10"/>
      <c r="C401" s="74"/>
      <c r="D401" s="2"/>
      <c r="E401" s="133"/>
      <c r="F401" s="2"/>
      <c r="G401" s="105"/>
      <c r="H401" s="2"/>
      <c r="I401" s="25"/>
      <c r="J401" s="21"/>
      <c r="M401" s="29"/>
      <c r="N401" s="29"/>
      <c r="O401" s="29"/>
      <c r="Q401" s="89"/>
    </row>
    <row r="402" spans="1:17" s="5" customFormat="1">
      <c r="A402" s="6"/>
      <c r="B402" s="10"/>
      <c r="C402" s="192"/>
      <c r="D402" s="2"/>
      <c r="E402" s="133"/>
      <c r="F402" s="2"/>
      <c r="G402" s="105"/>
      <c r="H402" s="2"/>
      <c r="I402" s="25"/>
      <c r="J402" s="21"/>
      <c r="M402" s="29"/>
      <c r="N402" s="29"/>
      <c r="O402" s="29"/>
      <c r="Q402" s="89"/>
    </row>
    <row r="403" spans="1:17" s="5" customFormat="1" ht="99.2" customHeight="1">
      <c r="A403" s="6"/>
      <c r="B403" s="10"/>
      <c r="C403" s="192"/>
      <c r="D403" s="2"/>
      <c r="E403" s="133"/>
      <c r="F403" s="2"/>
      <c r="G403" s="105"/>
      <c r="H403" s="15"/>
      <c r="I403" s="25"/>
      <c r="J403" s="21"/>
      <c r="K403" s="10"/>
      <c r="M403" s="29"/>
      <c r="N403" s="29"/>
      <c r="O403" s="29"/>
      <c r="Q403" s="89"/>
    </row>
    <row r="404" spans="1:17" s="5" customFormat="1">
      <c r="A404" s="6"/>
      <c r="B404" s="10"/>
      <c r="C404" s="192"/>
      <c r="D404" s="2"/>
      <c r="E404" s="133"/>
      <c r="F404" s="2"/>
      <c r="G404" s="105"/>
      <c r="H404" s="15"/>
      <c r="I404" s="25"/>
      <c r="J404" s="21"/>
      <c r="M404" s="29"/>
      <c r="N404" s="29"/>
      <c r="O404" s="29"/>
      <c r="Q404" s="89"/>
    </row>
    <row r="405" spans="1:17" s="5" customFormat="1">
      <c r="A405" s="6"/>
      <c r="B405" s="10"/>
      <c r="C405" s="74"/>
      <c r="D405" s="2"/>
      <c r="E405" s="133"/>
      <c r="F405" s="2"/>
      <c r="G405" s="105"/>
      <c r="H405" s="2"/>
      <c r="I405" s="25"/>
      <c r="J405" s="21"/>
      <c r="M405" s="29"/>
      <c r="N405" s="29"/>
      <c r="O405" s="29"/>
      <c r="Q405" s="89"/>
    </row>
    <row r="406" spans="1:17" s="5" customFormat="1">
      <c r="A406" s="6"/>
      <c r="B406" s="10"/>
      <c r="C406" s="192"/>
      <c r="D406" s="2"/>
      <c r="E406" s="133"/>
      <c r="F406" s="2"/>
      <c r="G406" s="105"/>
      <c r="H406" s="2"/>
      <c r="I406" s="25"/>
      <c r="J406" s="21"/>
      <c r="M406" s="29"/>
      <c r="N406" s="29"/>
      <c r="O406" s="29"/>
      <c r="Q406" s="89"/>
    </row>
    <row r="407" spans="1:17" s="5" customFormat="1" ht="96" customHeight="1">
      <c r="A407" s="6"/>
      <c r="B407" s="10"/>
      <c r="C407" s="192"/>
      <c r="D407" s="2"/>
      <c r="E407" s="133"/>
      <c r="F407" s="2"/>
      <c r="G407" s="105"/>
      <c r="H407" s="15"/>
      <c r="I407" s="25"/>
      <c r="J407" s="21"/>
      <c r="M407" s="29"/>
      <c r="N407" s="29"/>
      <c r="O407" s="29"/>
      <c r="Q407" s="89"/>
    </row>
    <row r="408" spans="1:17" s="5" customFormat="1">
      <c r="A408" s="6"/>
      <c r="B408" s="10"/>
      <c r="C408" s="192"/>
      <c r="D408" s="2"/>
      <c r="E408" s="133"/>
      <c r="F408" s="2"/>
      <c r="G408" s="105"/>
      <c r="H408" s="15"/>
      <c r="I408" s="25"/>
      <c r="J408" s="21"/>
      <c r="M408" s="29"/>
      <c r="N408" s="29"/>
      <c r="O408" s="29"/>
      <c r="Q408" s="89"/>
    </row>
    <row r="409" spans="1:17" s="5" customFormat="1">
      <c r="A409" s="6"/>
      <c r="B409" s="10"/>
      <c r="C409" s="74"/>
      <c r="D409" s="2"/>
      <c r="E409" s="133"/>
      <c r="F409" s="2"/>
      <c r="G409" s="105"/>
      <c r="H409" s="2"/>
      <c r="I409" s="25"/>
      <c r="J409" s="21"/>
      <c r="M409" s="29"/>
      <c r="N409" s="29"/>
      <c r="O409" s="29"/>
      <c r="Q409" s="89"/>
    </row>
    <row r="410" spans="1:17" s="5" customFormat="1">
      <c r="A410" s="6"/>
      <c r="B410" s="10"/>
      <c r="C410" s="192"/>
      <c r="D410" s="2"/>
      <c r="E410" s="133"/>
      <c r="F410" s="2"/>
      <c r="G410" s="105"/>
      <c r="H410" s="2"/>
      <c r="I410" s="25"/>
      <c r="J410" s="21"/>
      <c r="M410" s="29"/>
      <c r="N410" s="29"/>
      <c r="O410" s="29"/>
      <c r="Q410" s="89"/>
    </row>
    <row r="411" spans="1:17" s="5" customFormat="1" ht="99.2" customHeight="1">
      <c r="A411" s="6"/>
      <c r="B411" s="10"/>
      <c r="C411" s="192"/>
      <c r="D411" s="2"/>
      <c r="E411" s="133"/>
      <c r="F411" s="2"/>
      <c r="G411" s="105"/>
      <c r="H411" s="15"/>
      <c r="I411" s="25"/>
      <c r="J411" s="21"/>
      <c r="K411" s="10"/>
      <c r="M411" s="29"/>
      <c r="N411" s="29"/>
      <c r="O411" s="29"/>
      <c r="Q411" s="89"/>
    </row>
    <row r="412" spans="1:17" s="5" customFormat="1">
      <c r="A412" s="6"/>
      <c r="B412" s="10"/>
      <c r="C412" s="192"/>
      <c r="D412" s="2"/>
      <c r="E412" s="133"/>
      <c r="F412" s="2"/>
      <c r="G412" s="105"/>
      <c r="H412" s="15"/>
      <c r="I412" s="25"/>
      <c r="J412" s="21"/>
      <c r="M412" s="29"/>
      <c r="N412" s="29"/>
      <c r="O412" s="29"/>
      <c r="Q412" s="89"/>
    </row>
    <row r="413" spans="1:17" s="5" customFormat="1">
      <c r="A413" s="6"/>
      <c r="B413" s="10"/>
      <c r="C413" s="74"/>
      <c r="D413" s="2"/>
      <c r="E413" s="133"/>
      <c r="F413" s="2"/>
      <c r="G413" s="105"/>
      <c r="H413" s="2"/>
      <c r="I413" s="25"/>
      <c r="J413" s="21"/>
      <c r="M413" s="29"/>
      <c r="N413" s="29"/>
      <c r="O413" s="29"/>
      <c r="Q413" s="89"/>
    </row>
    <row r="414" spans="1:17" s="5" customFormat="1">
      <c r="A414" s="6"/>
      <c r="B414" s="10"/>
      <c r="C414" s="192"/>
      <c r="D414" s="2"/>
      <c r="E414" s="133"/>
      <c r="F414" s="2"/>
      <c r="G414" s="105"/>
      <c r="H414" s="2"/>
      <c r="I414" s="25"/>
      <c r="J414" s="21"/>
      <c r="M414" s="29"/>
      <c r="N414" s="29"/>
      <c r="O414" s="29"/>
      <c r="Q414" s="89"/>
    </row>
    <row r="415" spans="1:17" s="5" customFormat="1" ht="96" customHeight="1">
      <c r="A415" s="6"/>
      <c r="B415" s="10"/>
      <c r="C415" s="192"/>
      <c r="D415" s="2"/>
      <c r="E415" s="133"/>
      <c r="F415" s="2"/>
      <c r="G415" s="105"/>
      <c r="H415" s="15"/>
      <c r="I415" s="25"/>
      <c r="J415" s="21"/>
      <c r="M415" s="29"/>
      <c r="N415" s="29"/>
      <c r="O415" s="29"/>
      <c r="Q415" s="89"/>
    </row>
    <row r="416" spans="1:17" s="5" customFormat="1">
      <c r="A416" s="6"/>
      <c r="B416" s="10"/>
      <c r="C416" s="192"/>
      <c r="D416" s="2"/>
      <c r="E416" s="133"/>
      <c r="F416" s="2"/>
      <c r="G416" s="105"/>
      <c r="H416" s="15"/>
      <c r="I416" s="25"/>
      <c r="J416" s="21"/>
      <c r="M416" s="29"/>
      <c r="N416" s="29"/>
      <c r="O416" s="29"/>
      <c r="Q416" s="89"/>
    </row>
    <row r="417" spans="1:17" s="5" customFormat="1">
      <c r="A417" s="6"/>
      <c r="B417" s="10"/>
      <c r="C417" s="74"/>
      <c r="D417" s="2"/>
      <c r="E417" s="133"/>
      <c r="F417" s="2"/>
      <c r="G417" s="105"/>
      <c r="H417" s="2"/>
      <c r="I417" s="25"/>
      <c r="J417" s="21"/>
      <c r="M417" s="29"/>
      <c r="N417" s="29"/>
      <c r="O417" s="29"/>
      <c r="Q417" s="89"/>
    </row>
    <row r="418" spans="1:17" s="5" customFormat="1">
      <c r="A418" s="6"/>
      <c r="B418" s="10"/>
      <c r="C418" s="192"/>
      <c r="D418" s="2"/>
      <c r="E418" s="133"/>
      <c r="F418" s="2"/>
      <c r="G418" s="105"/>
      <c r="H418" s="2"/>
      <c r="I418" s="25"/>
      <c r="J418" s="21"/>
      <c r="M418" s="29"/>
      <c r="N418" s="29"/>
      <c r="O418" s="29"/>
      <c r="Q418" s="89"/>
    </row>
    <row r="419" spans="1:17" s="5" customFormat="1" ht="98.25" customHeight="1">
      <c r="A419" s="6"/>
      <c r="B419" s="10"/>
      <c r="C419" s="192"/>
      <c r="D419" s="2"/>
      <c r="E419" s="133"/>
      <c r="F419" s="2"/>
      <c r="G419" s="105"/>
      <c r="H419" s="15"/>
      <c r="I419" s="25"/>
      <c r="J419" s="21"/>
      <c r="M419" s="29"/>
      <c r="N419" s="29"/>
      <c r="O419" s="29"/>
      <c r="Q419" s="89"/>
    </row>
    <row r="420" spans="1:17" s="5" customFormat="1">
      <c r="A420" s="6"/>
      <c r="B420" s="10"/>
      <c r="C420" s="192"/>
      <c r="D420" s="2"/>
      <c r="E420" s="133"/>
      <c r="F420" s="2"/>
      <c r="G420" s="105"/>
      <c r="H420" s="15"/>
      <c r="I420" s="25"/>
      <c r="J420" s="21"/>
      <c r="M420" s="29"/>
      <c r="N420" s="29"/>
      <c r="O420" s="29"/>
      <c r="Q420" s="89"/>
    </row>
    <row r="421" spans="1:17" s="5" customFormat="1">
      <c r="A421" s="6"/>
      <c r="B421" s="10"/>
      <c r="C421" s="74"/>
      <c r="D421" s="2"/>
      <c r="E421" s="133"/>
      <c r="F421" s="2"/>
      <c r="G421" s="105"/>
      <c r="H421" s="2"/>
      <c r="I421" s="25"/>
      <c r="J421" s="21"/>
      <c r="M421" s="29"/>
      <c r="N421" s="29"/>
      <c r="O421" s="29"/>
      <c r="Q421" s="89"/>
    </row>
    <row r="422" spans="1:17" s="5" customFormat="1">
      <c r="A422" s="6"/>
      <c r="B422" s="10"/>
      <c r="C422" s="192"/>
      <c r="D422" s="2"/>
      <c r="E422" s="133"/>
      <c r="F422" s="2"/>
      <c r="G422" s="105"/>
      <c r="H422" s="2"/>
      <c r="I422" s="25"/>
      <c r="J422" s="21"/>
      <c r="M422" s="29"/>
      <c r="N422" s="29"/>
      <c r="O422" s="29"/>
      <c r="Q422" s="89"/>
    </row>
    <row r="423" spans="1:17" s="5" customFormat="1" ht="96" customHeight="1">
      <c r="A423" s="6"/>
      <c r="B423" s="10"/>
      <c r="C423" s="192"/>
      <c r="D423" s="2"/>
      <c r="E423" s="133"/>
      <c r="F423" s="2"/>
      <c r="G423" s="105"/>
      <c r="H423" s="15"/>
      <c r="I423" s="25"/>
      <c r="J423" s="21"/>
      <c r="M423" s="29"/>
      <c r="N423" s="29"/>
      <c r="O423" s="29"/>
      <c r="Q423" s="89"/>
    </row>
    <row r="424" spans="1:17" s="5" customFormat="1">
      <c r="A424" s="6"/>
      <c r="B424" s="10"/>
      <c r="C424" s="192"/>
      <c r="D424" s="2"/>
      <c r="E424" s="133"/>
      <c r="F424" s="2"/>
      <c r="G424" s="105"/>
      <c r="H424" s="15"/>
      <c r="I424" s="25"/>
      <c r="J424" s="21"/>
      <c r="M424" s="29"/>
      <c r="N424" s="29"/>
      <c r="O424" s="29"/>
      <c r="Q424" s="89"/>
    </row>
    <row r="425" spans="1:17" s="5" customFormat="1">
      <c r="A425" s="6"/>
      <c r="B425" s="10"/>
      <c r="C425" s="74"/>
      <c r="D425" s="2"/>
      <c r="E425" s="133"/>
      <c r="F425" s="2"/>
      <c r="G425" s="105"/>
      <c r="H425" s="2"/>
      <c r="I425" s="25"/>
      <c r="J425" s="21"/>
      <c r="M425" s="29"/>
      <c r="N425" s="29"/>
      <c r="O425" s="29"/>
      <c r="Q425" s="89"/>
    </row>
    <row r="426" spans="1:17" s="5" customFormat="1">
      <c r="A426" s="6"/>
      <c r="B426" s="10"/>
      <c r="C426" s="192"/>
      <c r="D426" s="2"/>
      <c r="E426" s="133"/>
      <c r="F426" s="2"/>
      <c r="G426" s="105"/>
      <c r="H426" s="2"/>
      <c r="I426" s="25"/>
      <c r="J426" s="21"/>
      <c r="M426" s="29"/>
      <c r="N426" s="29"/>
      <c r="O426" s="29"/>
      <c r="Q426" s="89"/>
    </row>
    <row r="427" spans="1:17" s="5" customFormat="1" ht="99.2" customHeight="1">
      <c r="A427" s="6"/>
      <c r="B427" s="10"/>
      <c r="C427" s="192"/>
      <c r="D427" s="2"/>
      <c r="E427" s="133"/>
      <c r="F427" s="2"/>
      <c r="G427" s="105"/>
      <c r="H427" s="15"/>
      <c r="I427" s="25"/>
      <c r="J427" s="21"/>
      <c r="M427" s="29"/>
      <c r="N427" s="29"/>
      <c r="O427" s="29"/>
      <c r="Q427" s="89"/>
    </row>
    <row r="428" spans="1:17" s="5" customFormat="1">
      <c r="A428" s="6"/>
      <c r="B428" s="10"/>
      <c r="C428" s="192"/>
      <c r="D428" s="2"/>
      <c r="E428" s="133"/>
      <c r="F428" s="2"/>
      <c r="G428" s="105"/>
      <c r="H428" s="15"/>
      <c r="I428" s="25"/>
      <c r="J428" s="21"/>
      <c r="M428" s="29"/>
      <c r="N428" s="29"/>
      <c r="O428" s="29"/>
      <c r="Q428" s="89"/>
    </row>
    <row r="429" spans="1:17" s="5" customFormat="1">
      <c r="A429" s="6"/>
      <c r="B429" s="10"/>
      <c r="C429" s="74"/>
      <c r="D429" s="2"/>
      <c r="E429" s="133"/>
      <c r="F429" s="2"/>
      <c r="G429" s="105"/>
      <c r="H429" s="2"/>
      <c r="I429" s="25"/>
      <c r="J429" s="21"/>
      <c r="M429" s="29"/>
      <c r="N429" s="29"/>
      <c r="O429" s="29"/>
      <c r="Q429" s="89"/>
    </row>
    <row r="430" spans="1:17" s="5" customFormat="1">
      <c r="A430" s="6"/>
      <c r="B430" s="10"/>
      <c r="C430" s="192"/>
      <c r="D430" s="2"/>
      <c r="E430" s="133"/>
      <c r="F430" s="2"/>
      <c r="G430" s="105"/>
      <c r="H430" s="2"/>
      <c r="I430" s="25"/>
      <c r="J430" s="21"/>
      <c r="M430" s="29"/>
      <c r="N430" s="29"/>
      <c r="O430" s="29"/>
      <c r="Q430" s="89"/>
    </row>
    <row r="431" spans="1:17" s="5" customFormat="1" ht="97.5" customHeight="1">
      <c r="A431" s="6"/>
      <c r="B431" s="10"/>
      <c r="C431" s="192"/>
      <c r="D431" s="2"/>
      <c r="E431" s="133"/>
      <c r="F431" s="2"/>
      <c r="G431" s="105"/>
      <c r="H431" s="15"/>
      <c r="I431" s="25"/>
      <c r="J431" s="21"/>
      <c r="M431" s="29"/>
      <c r="N431" s="29"/>
      <c r="O431" s="29"/>
      <c r="Q431" s="89"/>
    </row>
    <row r="432" spans="1:17" s="5" customFormat="1">
      <c r="A432" s="6"/>
      <c r="B432" s="10"/>
      <c r="C432" s="192"/>
      <c r="D432" s="2"/>
      <c r="E432" s="133"/>
      <c r="F432" s="2"/>
      <c r="G432" s="105"/>
      <c r="H432" s="15"/>
      <c r="I432" s="25"/>
      <c r="J432" s="21"/>
      <c r="M432" s="29"/>
      <c r="N432" s="29"/>
      <c r="O432" s="29"/>
      <c r="Q432" s="89"/>
    </row>
    <row r="433" spans="1:17" s="5" customFormat="1">
      <c r="A433" s="6"/>
      <c r="B433" s="10"/>
      <c r="C433" s="74"/>
      <c r="D433" s="2"/>
      <c r="E433" s="133"/>
      <c r="F433" s="2"/>
      <c r="G433" s="105"/>
      <c r="H433" s="2"/>
      <c r="I433" s="25"/>
      <c r="J433" s="21"/>
      <c r="M433" s="29"/>
      <c r="N433" s="29"/>
      <c r="O433" s="29"/>
      <c r="Q433" s="89"/>
    </row>
    <row r="434" spans="1:17" s="5" customFormat="1">
      <c r="A434" s="6"/>
      <c r="B434" s="10"/>
      <c r="C434" s="192"/>
      <c r="D434" s="2"/>
      <c r="E434" s="133"/>
      <c r="F434" s="2"/>
      <c r="G434" s="105"/>
      <c r="H434" s="2"/>
      <c r="I434" s="25"/>
      <c r="J434" s="21"/>
      <c r="M434" s="29"/>
      <c r="N434" s="29"/>
      <c r="O434" s="29"/>
      <c r="Q434" s="89"/>
    </row>
    <row r="435" spans="1:17" s="5" customFormat="1" ht="96.75" customHeight="1">
      <c r="A435" s="6"/>
      <c r="B435" s="10"/>
      <c r="C435" s="192"/>
      <c r="D435" s="2"/>
      <c r="E435" s="133"/>
      <c r="F435" s="2"/>
      <c r="G435" s="105"/>
      <c r="H435" s="15"/>
      <c r="I435" s="25"/>
      <c r="J435" s="21"/>
      <c r="M435" s="29"/>
      <c r="N435" s="29"/>
      <c r="O435" s="29"/>
      <c r="Q435" s="89"/>
    </row>
    <row r="436" spans="1:17" s="5" customFormat="1">
      <c r="A436" s="6"/>
      <c r="B436" s="10"/>
      <c r="C436" s="192"/>
      <c r="D436" s="2"/>
      <c r="E436" s="133"/>
      <c r="F436" s="2"/>
      <c r="G436" s="105"/>
      <c r="H436" s="15"/>
      <c r="I436" s="25"/>
      <c r="J436" s="21"/>
      <c r="M436" s="29"/>
      <c r="N436" s="29"/>
      <c r="O436" s="29"/>
      <c r="Q436" s="89"/>
    </row>
    <row r="437" spans="1:17" s="5" customFormat="1">
      <c r="A437" s="6"/>
      <c r="B437" s="10"/>
      <c r="C437" s="74"/>
      <c r="D437" s="2"/>
      <c r="E437" s="133"/>
      <c r="F437" s="2"/>
      <c r="G437" s="105"/>
      <c r="H437" s="2"/>
      <c r="I437" s="25"/>
      <c r="J437" s="21"/>
      <c r="M437" s="29"/>
      <c r="N437" s="29"/>
      <c r="O437" s="29"/>
      <c r="Q437" s="89"/>
    </row>
    <row r="438" spans="1:17" s="5" customFormat="1">
      <c r="A438" s="6"/>
      <c r="B438" s="10"/>
      <c r="C438" s="192"/>
      <c r="D438" s="2"/>
      <c r="E438" s="133"/>
      <c r="F438" s="2"/>
      <c r="G438" s="105"/>
      <c r="H438" s="2"/>
      <c r="I438" s="25"/>
      <c r="J438" s="21"/>
      <c r="M438" s="29"/>
      <c r="N438" s="29"/>
      <c r="O438" s="29"/>
      <c r="Q438" s="89"/>
    </row>
    <row r="439" spans="1:17" s="5" customFormat="1" ht="93" customHeight="1">
      <c r="A439" s="6"/>
      <c r="B439" s="10"/>
      <c r="C439" s="192"/>
      <c r="D439" s="2"/>
      <c r="E439" s="133"/>
      <c r="F439" s="2"/>
      <c r="G439" s="105"/>
      <c r="H439" s="15"/>
      <c r="I439" s="25"/>
      <c r="J439" s="21"/>
      <c r="M439" s="29"/>
      <c r="N439" s="29"/>
      <c r="O439" s="29"/>
      <c r="Q439" s="89"/>
    </row>
    <row r="440" spans="1:17" s="5" customFormat="1">
      <c r="A440" s="6"/>
      <c r="B440" s="10"/>
      <c r="C440" s="192"/>
      <c r="D440" s="2"/>
      <c r="E440" s="133"/>
      <c r="F440" s="2"/>
      <c r="G440" s="105"/>
      <c r="H440" s="15"/>
      <c r="I440" s="25"/>
      <c r="J440" s="21"/>
      <c r="M440" s="29"/>
      <c r="N440" s="29"/>
      <c r="O440" s="29"/>
      <c r="Q440" s="89"/>
    </row>
    <row r="441" spans="1:17" s="5" customFormat="1">
      <c r="A441" s="6"/>
      <c r="B441" s="10"/>
      <c r="C441" s="74"/>
      <c r="D441" s="2"/>
      <c r="E441" s="133"/>
      <c r="F441" s="2"/>
      <c r="G441" s="105"/>
      <c r="H441" s="2"/>
      <c r="I441" s="25"/>
      <c r="J441" s="197"/>
      <c r="M441" s="29"/>
      <c r="N441" s="29"/>
      <c r="O441" s="29"/>
      <c r="Q441" s="89"/>
    </row>
    <row r="442" spans="1:17" s="5" customFormat="1">
      <c r="A442" s="6"/>
      <c r="B442" s="10"/>
      <c r="C442" s="192"/>
      <c r="D442" s="2"/>
      <c r="E442" s="133"/>
      <c r="F442" s="2"/>
      <c r="G442" s="105"/>
      <c r="H442" s="2"/>
      <c r="I442" s="25"/>
      <c r="J442" s="21"/>
      <c r="M442" s="29"/>
      <c r="N442" s="29"/>
      <c r="O442" s="29"/>
      <c r="Q442" s="89"/>
    </row>
    <row r="443" spans="1:17" s="5" customFormat="1">
      <c r="A443" s="6"/>
      <c r="B443" s="10"/>
      <c r="C443" s="192"/>
      <c r="D443" s="2"/>
      <c r="E443" s="133"/>
      <c r="F443" s="2"/>
      <c r="G443" s="105"/>
      <c r="H443" s="15"/>
      <c r="I443" s="25"/>
      <c r="J443" s="21"/>
      <c r="M443" s="29"/>
      <c r="N443" s="29"/>
      <c r="O443" s="29"/>
      <c r="Q443" s="89"/>
    </row>
    <row r="444" spans="1:17" s="5" customFormat="1">
      <c r="A444" s="6"/>
      <c r="B444" s="10"/>
      <c r="C444" s="192"/>
      <c r="D444" s="2"/>
      <c r="E444" s="133"/>
      <c r="F444" s="2"/>
      <c r="G444" s="105"/>
      <c r="H444" s="15"/>
      <c r="I444" s="25"/>
      <c r="J444" s="21"/>
      <c r="M444" s="29"/>
      <c r="N444" s="29"/>
      <c r="O444" s="29"/>
      <c r="Q444" s="89"/>
    </row>
    <row r="445" spans="1:17" s="5" customFormat="1">
      <c r="A445" s="6"/>
      <c r="B445" s="10"/>
      <c r="C445" s="74"/>
      <c r="D445" s="2"/>
      <c r="E445" s="133"/>
      <c r="F445" s="2"/>
      <c r="G445" s="105"/>
      <c r="H445" s="2"/>
      <c r="I445" s="25"/>
      <c r="J445" s="21"/>
      <c r="M445" s="29"/>
      <c r="N445" s="29"/>
      <c r="O445" s="29"/>
      <c r="Q445" s="89"/>
    </row>
    <row r="446" spans="1:17" s="5" customFormat="1">
      <c r="A446" s="6"/>
      <c r="B446" s="10"/>
      <c r="C446" s="74"/>
      <c r="D446" s="2"/>
      <c r="E446" s="133"/>
      <c r="F446" s="2"/>
      <c r="G446" s="105"/>
      <c r="H446" s="2"/>
      <c r="I446" s="25"/>
      <c r="J446" s="21"/>
      <c r="M446" s="29"/>
      <c r="N446" s="29"/>
      <c r="O446" s="29"/>
      <c r="Q446" s="89"/>
    </row>
    <row r="447" spans="1:17" ht="93.75" customHeight="1">
      <c r="B447" s="10"/>
      <c r="H447" s="175"/>
    </row>
    <row r="448" spans="1:17">
      <c r="B448" s="167"/>
      <c r="H448" s="175"/>
    </row>
    <row r="449" spans="2:17">
      <c r="B449" s="167"/>
      <c r="C449" s="173"/>
      <c r="H449" s="132"/>
      <c r="Q449" s="198"/>
    </row>
    <row r="450" spans="2:17">
      <c r="B450" s="167"/>
      <c r="H450" s="132"/>
      <c r="Q450" s="198"/>
    </row>
    <row r="451" spans="2:17" ht="112.5" customHeight="1">
      <c r="B451" s="10"/>
      <c r="H451" s="175"/>
    </row>
    <row r="452" spans="2:17">
      <c r="B452" s="167"/>
      <c r="H452" s="175"/>
    </row>
    <row r="453" spans="2:17">
      <c r="B453" s="167"/>
      <c r="C453" s="173"/>
      <c r="H453" s="132"/>
      <c r="Q453" s="198"/>
    </row>
    <row r="454" spans="2:17">
      <c r="B454" s="167"/>
      <c r="H454" s="132"/>
      <c r="J454" s="199"/>
      <c r="Q454" s="198"/>
    </row>
    <row r="455" spans="2:17" ht="81.75" customHeight="1">
      <c r="B455" s="10"/>
      <c r="H455" s="175"/>
    </row>
    <row r="456" spans="2:17">
      <c r="B456" s="167"/>
      <c r="H456" s="175"/>
    </row>
    <row r="457" spans="2:17">
      <c r="B457" s="167"/>
      <c r="C457" s="173"/>
      <c r="H457" s="132"/>
      <c r="Q457" s="198"/>
    </row>
    <row r="458" spans="2:17">
      <c r="B458" s="167"/>
      <c r="H458" s="132"/>
      <c r="Q458" s="198"/>
    </row>
    <row r="459" spans="2:17">
      <c r="B459" s="167"/>
      <c r="H459" s="132"/>
      <c r="Q459" s="198"/>
    </row>
    <row r="460" spans="2:17" ht="28.5" customHeight="1">
      <c r="B460" s="10"/>
      <c r="H460" s="175"/>
    </row>
    <row r="461" spans="2:17">
      <c r="B461" s="167"/>
      <c r="H461" s="175"/>
    </row>
    <row r="462" spans="2:17">
      <c r="B462" s="167"/>
      <c r="C462" s="173"/>
      <c r="H462" s="132"/>
      <c r="Q462" s="198"/>
    </row>
    <row r="463" spans="2:17">
      <c r="B463" s="167"/>
      <c r="C463" s="173"/>
      <c r="H463" s="132"/>
      <c r="I463" s="136"/>
      <c r="J463" s="136"/>
      <c r="M463" s="136"/>
      <c r="N463" s="136"/>
      <c r="O463" s="136"/>
    </row>
    <row r="464" spans="2:17" ht="84" customHeight="1">
      <c r="B464" s="10"/>
      <c r="H464" s="175"/>
    </row>
    <row r="465" spans="1:17">
      <c r="B465" s="167"/>
      <c r="H465" s="175"/>
    </row>
    <row r="466" spans="1:17">
      <c r="B466" s="167"/>
      <c r="C466" s="173"/>
      <c r="H466" s="132"/>
      <c r="Q466" s="198"/>
    </row>
    <row r="467" spans="1:17">
      <c r="B467" s="167"/>
      <c r="C467" s="173"/>
      <c r="H467" s="132"/>
      <c r="Q467" s="198"/>
    </row>
    <row r="468" spans="1:17">
      <c r="B468" s="10"/>
      <c r="H468" s="175"/>
    </row>
    <row r="469" spans="1:17">
      <c r="B469" s="167"/>
      <c r="H469" s="175"/>
    </row>
    <row r="470" spans="1:17">
      <c r="B470" s="167"/>
      <c r="C470" s="173"/>
      <c r="H470" s="132"/>
      <c r="Q470" s="198"/>
    </row>
    <row r="471" spans="1:17">
      <c r="B471" s="167"/>
      <c r="C471" s="173"/>
      <c r="H471" s="132"/>
      <c r="Q471" s="198"/>
    </row>
    <row r="472" spans="1:17">
      <c r="B472" s="10"/>
      <c r="H472" s="175"/>
    </row>
    <row r="473" spans="1:17">
      <c r="B473" s="167"/>
      <c r="H473" s="175"/>
    </row>
    <row r="474" spans="1:17">
      <c r="B474" s="167"/>
      <c r="C474" s="173"/>
      <c r="H474" s="132"/>
      <c r="Q474" s="198"/>
    </row>
    <row r="475" spans="1:17" s="5" customFormat="1">
      <c r="A475" s="6"/>
      <c r="B475" s="10"/>
      <c r="C475" s="192"/>
      <c r="D475" s="2"/>
      <c r="E475" s="133"/>
      <c r="F475" s="2"/>
      <c r="G475" s="105"/>
      <c r="H475" s="2"/>
      <c r="Q475" s="89"/>
    </row>
    <row r="476" spans="1:17">
      <c r="B476" s="10"/>
      <c r="H476" s="175"/>
    </row>
    <row r="477" spans="1:17">
      <c r="B477" s="167"/>
      <c r="H477" s="175"/>
    </row>
    <row r="478" spans="1:17">
      <c r="B478" s="167"/>
      <c r="C478" s="173"/>
      <c r="H478" s="132"/>
      <c r="Q478" s="198"/>
    </row>
    <row r="479" spans="1:17">
      <c r="B479" s="167"/>
      <c r="C479" s="173"/>
      <c r="H479" s="132"/>
      <c r="Q479" s="198"/>
    </row>
    <row r="480" spans="1:17">
      <c r="B480" s="10"/>
      <c r="H480" s="175"/>
    </row>
    <row r="481" spans="2:17">
      <c r="B481" s="167"/>
      <c r="H481" s="175"/>
    </row>
    <row r="482" spans="2:17">
      <c r="B482" s="167"/>
      <c r="C482" s="173"/>
      <c r="H482" s="132"/>
      <c r="Q482" s="198"/>
    </row>
    <row r="483" spans="2:17">
      <c r="B483" s="167"/>
      <c r="C483" s="173"/>
      <c r="H483" s="132"/>
      <c r="Q483" s="198"/>
    </row>
    <row r="484" spans="2:17">
      <c r="B484" s="10"/>
      <c r="H484" s="175"/>
    </row>
    <row r="485" spans="2:17">
      <c r="B485" s="167"/>
      <c r="H485" s="175"/>
    </row>
    <row r="486" spans="2:17">
      <c r="B486" s="167"/>
      <c r="C486" s="173"/>
      <c r="H486" s="132"/>
      <c r="Q486" s="198"/>
    </row>
    <row r="487" spans="2:17">
      <c r="B487" s="167"/>
      <c r="H487" s="132"/>
      <c r="Q487" s="198"/>
    </row>
    <row r="488" spans="2:17">
      <c r="B488" s="10"/>
      <c r="H488" s="175"/>
    </row>
    <row r="489" spans="2:17">
      <c r="B489" s="167"/>
      <c r="H489" s="175"/>
    </row>
    <row r="490" spans="2:17">
      <c r="B490" s="167"/>
      <c r="C490" s="173"/>
      <c r="H490" s="132"/>
      <c r="Q490" s="198"/>
    </row>
    <row r="491" spans="2:17">
      <c r="B491" s="167"/>
      <c r="C491" s="173"/>
      <c r="H491" s="132"/>
      <c r="K491" s="153"/>
      <c r="L491" s="153"/>
      <c r="Q491" s="198"/>
    </row>
    <row r="492" spans="2:17">
      <c r="B492" s="10"/>
      <c r="H492" s="175"/>
    </row>
    <row r="493" spans="2:17">
      <c r="B493" s="167"/>
      <c r="H493" s="175"/>
    </row>
    <row r="494" spans="2:17">
      <c r="B494" s="167"/>
      <c r="C494" s="173"/>
      <c r="H494" s="132"/>
      <c r="Q494" s="198"/>
    </row>
    <row r="495" spans="2:17">
      <c r="B495" s="167"/>
      <c r="C495" s="173"/>
      <c r="H495" s="132"/>
      <c r="Q495" s="198"/>
    </row>
    <row r="496" spans="2:17">
      <c r="B496" s="10"/>
      <c r="H496" s="175"/>
    </row>
    <row r="497" spans="2:17">
      <c r="B497" s="167"/>
      <c r="H497" s="175"/>
    </row>
    <row r="498" spans="2:17">
      <c r="B498" s="167"/>
      <c r="C498" s="173"/>
      <c r="H498" s="132"/>
      <c r="Q498" s="198"/>
    </row>
    <row r="499" spans="2:17">
      <c r="B499" s="167"/>
      <c r="H499" s="132"/>
      <c r="Q499" s="198"/>
    </row>
    <row r="500" spans="2:17">
      <c r="B500" s="10"/>
      <c r="H500" s="175"/>
    </row>
    <row r="501" spans="2:17">
      <c r="B501" s="167"/>
      <c r="H501" s="175"/>
    </row>
    <row r="502" spans="2:17">
      <c r="B502" s="167"/>
      <c r="C502" s="173"/>
      <c r="H502" s="132"/>
      <c r="Q502" s="198"/>
    </row>
    <row r="503" spans="2:17">
      <c r="B503" s="167"/>
      <c r="H503" s="132"/>
      <c r="Q503" s="198"/>
    </row>
    <row r="504" spans="2:17">
      <c r="B504" s="10"/>
      <c r="H504" s="175"/>
    </row>
    <row r="505" spans="2:17">
      <c r="B505" s="167"/>
      <c r="H505" s="175"/>
    </row>
    <row r="506" spans="2:17">
      <c r="B506" s="167"/>
      <c r="C506" s="173"/>
      <c r="H506" s="132"/>
      <c r="Q506" s="198"/>
    </row>
    <row r="507" spans="2:17">
      <c r="B507" s="167"/>
      <c r="C507" s="173"/>
      <c r="H507" s="132"/>
      <c r="Q507" s="198"/>
    </row>
    <row r="508" spans="2:17">
      <c r="B508" s="10"/>
      <c r="H508" s="175"/>
    </row>
    <row r="509" spans="2:17">
      <c r="B509" s="167"/>
      <c r="H509" s="175"/>
    </row>
    <row r="510" spans="2:17">
      <c r="B510" s="167"/>
      <c r="C510" s="173"/>
      <c r="H510" s="132"/>
      <c r="Q510" s="198"/>
    </row>
    <row r="511" spans="2:17">
      <c r="B511" s="167"/>
      <c r="C511" s="173"/>
      <c r="H511" s="132"/>
      <c r="Q511" s="198"/>
    </row>
    <row r="512" spans="2:17">
      <c r="B512" s="10"/>
      <c r="H512" s="175"/>
    </row>
    <row r="513" spans="2:17">
      <c r="B513" s="167"/>
      <c r="H513" s="175"/>
    </row>
    <row r="514" spans="2:17">
      <c r="B514" s="167"/>
      <c r="C514" s="173"/>
      <c r="H514" s="132"/>
      <c r="Q514" s="198"/>
    </row>
    <row r="515" spans="2:17">
      <c r="B515" s="167"/>
      <c r="C515" s="173"/>
      <c r="H515" s="132"/>
      <c r="Q515" s="198"/>
    </row>
    <row r="516" spans="2:17">
      <c r="B516" s="10"/>
      <c r="H516" s="175"/>
    </row>
    <row r="517" spans="2:17">
      <c r="B517" s="167"/>
      <c r="H517" s="175"/>
    </row>
    <row r="518" spans="2:17">
      <c r="B518" s="167"/>
      <c r="C518" s="173"/>
      <c r="H518" s="132"/>
      <c r="Q518" s="198"/>
    </row>
    <row r="519" spans="2:17">
      <c r="B519" s="167"/>
      <c r="H519" s="132"/>
      <c r="Q519" s="198"/>
    </row>
    <row r="520" spans="2:17">
      <c r="B520" s="10"/>
      <c r="H520" s="175"/>
    </row>
    <row r="521" spans="2:17">
      <c r="B521" s="167"/>
      <c r="H521" s="175"/>
    </row>
    <row r="522" spans="2:17">
      <c r="B522" s="167"/>
      <c r="C522" s="173"/>
      <c r="H522" s="132"/>
      <c r="Q522" s="198"/>
    </row>
    <row r="523" spans="2:17">
      <c r="B523" s="167"/>
      <c r="H523" s="132"/>
      <c r="Q523" s="198"/>
    </row>
    <row r="524" spans="2:17">
      <c r="B524" s="10"/>
      <c r="H524" s="175"/>
    </row>
    <row r="525" spans="2:17">
      <c r="B525" s="167"/>
      <c r="H525" s="175"/>
    </row>
    <row r="526" spans="2:17">
      <c r="B526" s="167"/>
      <c r="C526" s="173"/>
      <c r="H526" s="132"/>
      <c r="Q526" s="198"/>
    </row>
    <row r="527" spans="2:17">
      <c r="B527" s="167"/>
      <c r="C527" s="173"/>
      <c r="H527" s="132"/>
      <c r="Q527" s="198"/>
    </row>
    <row r="528" spans="2:17" ht="96" customHeight="1">
      <c r="B528" s="10"/>
      <c r="H528" s="175"/>
    </row>
    <row r="529" spans="2:17">
      <c r="B529" s="167"/>
      <c r="H529" s="175"/>
    </row>
    <row r="530" spans="2:17">
      <c r="B530" s="167"/>
      <c r="C530" s="173"/>
      <c r="H530" s="132"/>
      <c r="Q530" s="198"/>
    </row>
    <row r="531" spans="2:17">
      <c r="B531" s="167"/>
      <c r="C531" s="173"/>
      <c r="H531" s="132"/>
      <c r="Q531" s="198"/>
    </row>
    <row r="532" spans="2:17">
      <c r="B532" s="10"/>
      <c r="H532" s="175"/>
    </row>
    <row r="533" spans="2:17">
      <c r="B533" s="167"/>
      <c r="H533" s="175"/>
    </row>
    <row r="534" spans="2:17">
      <c r="B534" s="167"/>
      <c r="C534" s="173"/>
      <c r="H534" s="132"/>
      <c r="Q534" s="198"/>
    </row>
    <row r="535" spans="2:17">
      <c r="B535" s="167"/>
      <c r="H535" s="132"/>
      <c r="Q535" s="198"/>
    </row>
    <row r="536" spans="2:17">
      <c r="B536" s="10"/>
      <c r="H536" s="175"/>
    </row>
    <row r="537" spans="2:17">
      <c r="B537" s="167"/>
      <c r="H537" s="175"/>
    </row>
    <row r="538" spans="2:17">
      <c r="B538" s="167"/>
      <c r="C538" s="173"/>
      <c r="H538" s="132"/>
      <c r="Q538" s="198"/>
    </row>
    <row r="539" spans="2:17">
      <c r="B539" s="167"/>
      <c r="C539" s="173"/>
      <c r="H539" s="132"/>
      <c r="Q539" s="198"/>
    </row>
    <row r="540" spans="2:17">
      <c r="B540" s="10"/>
      <c r="H540" s="175"/>
    </row>
    <row r="541" spans="2:17">
      <c r="B541" s="167"/>
      <c r="H541" s="175"/>
    </row>
    <row r="542" spans="2:17">
      <c r="B542" s="167"/>
      <c r="C542" s="173"/>
      <c r="H542" s="132"/>
      <c r="Q542" s="198"/>
    </row>
    <row r="543" spans="2:17">
      <c r="B543" s="167"/>
      <c r="C543" s="173"/>
      <c r="H543" s="132"/>
      <c r="Q543" s="198"/>
    </row>
    <row r="544" spans="2:17">
      <c r="B544" s="10"/>
      <c r="H544" s="175"/>
    </row>
    <row r="545" spans="2:17">
      <c r="B545" s="167"/>
      <c r="H545" s="175"/>
    </row>
    <row r="546" spans="2:17">
      <c r="B546" s="167"/>
      <c r="C546" s="173"/>
      <c r="H546" s="132"/>
      <c r="Q546" s="198"/>
    </row>
    <row r="547" spans="2:17">
      <c r="B547" s="167"/>
      <c r="H547" s="132"/>
      <c r="Q547" s="198"/>
    </row>
    <row r="548" spans="2:17">
      <c r="B548" s="10"/>
      <c r="H548" s="175"/>
    </row>
    <row r="549" spans="2:17">
      <c r="B549" s="167"/>
      <c r="H549" s="175"/>
    </row>
    <row r="550" spans="2:17">
      <c r="B550" s="167"/>
      <c r="C550" s="173"/>
      <c r="H550" s="132"/>
      <c r="Q550" s="198"/>
    </row>
    <row r="551" spans="2:17">
      <c r="B551" s="167"/>
      <c r="C551" s="173"/>
      <c r="H551" s="132"/>
      <c r="Q551" s="198"/>
    </row>
    <row r="552" spans="2:17">
      <c r="B552" s="10"/>
      <c r="H552" s="175"/>
    </row>
    <row r="553" spans="2:17">
      <c r="B553" s="167"/>
      <c r="H553" s="175"/>
    </row>
    <row r="554" spans="2:17">
      <c r="B554" s="167"/>
      <c r="C554" s="173"/>
      <c r="H554" s="132"/>
      <c r="Q554" s="198"/>
    </row>
    <row r="555" spans="2:17">
      <c r="B555" s="167"/>
      <c r="H555" s="132"/>
      <c r="Q555" s="198"/>
    </row>
    <row r="556" spans="2:17">
      <c r="B556" s="10"/>
      <c r="H556" s="175"/>
    </row>
    <row r="557" spans="2:17">
      <c r="B557" s="167"/>
      <c r="H557" s="175"/>
    </row>
    <row r="558" spans="2:17">
      <c r="B558" s="167"/>
      <c r="C558" s="173"/>
      <c r="H558" s="132"/>
      <c r="Q558" s="198"/>
    </row>
    <row r="559" spans="2:17">
      <c r="B559" s="167"/>
      <c r="C559" s="173"/>
      <c r="H559" s="132"/>
      <c r="Q559" s="198"/>
    </row>
    <row r="560" spans="2:17">
      <c r="B560" s="10"/>
      <c r="H560" s="175"/>
    </row>
    <row r="561" spans="2:17">
      <c r="B561" s="167"/>
      <c r="H561" s="175"/>
    </row>
    <row r="562" spans="2:17">
      <c r="B562" s="167"/>
      <c r="C562" s="173"/>
      <c r="H562" s="132"/>
      <c r="Q562" s="198"/>
    </row>
    <row r="563" spans="2:17">
      <c r="B563" s="167"/>
      <c r="H563" s="132"/>
      <c r="Q563" s="198"/>
    </row>
    <row r="564" spans="2:17">
      <c r="B564" s="10"/>
      <c r="H564" s="175"/>
    </row>
    <row r="565" spans="2:17">
      <c r="B565" s="167"/>
      <c r="H565" s="175"/>
    </row>
    <row r="566" spans="2:17">
      <c r="B566" s="167"/>
      <c r="C566" s="173"/>
      <c r="H566" s="132"/>
      <c r="Q566" s="198"/>
    </row>
    <row r="567" spans="2:17">
      <c r="B567" s="167"/>
      <c r="C567" s="173"/>
      <c r="H567" s="132"/>
      <c r="Q567" s="198"/>
    </row>
    <row r="568" spans="2:17">
      <c r="B568" s="10"/>
      <c r="H568" s="175"/>
    </row>
    <row r="569" spans="2:17">
      <c r="B569" s="167"/>
      <c r="H569" s="175"/>
    </row>
    <row r="570" spans="2:17">
      <c r="B570" s="167"/>
      <c r="C570" s="173"/>
      <c r="H570" s="132"/>
      <c r="Q570" s="198"/>
    </row>
    <row r="571" spans="2:17">
      <c r="B571" s="167"/>
      <c r="H571" s="132"/>
      <c r="Q571" s="198"/>
    </row>
    <row r="572" spans="2:17">
      <c r="B572" s="10"/>
      <c r="H572" s="175"/>
    </row>
    <row r="573" spans="2:17">
      <c r="B573" s="167"/>
      <c r="H573" s="175"/>
    </row>
    <row r="574" spans="2:17">
      <c r="B574" s="167"/>
      <c r="C574" s="173"/>
      <c r="H574" s="132"/>
      <c r="Q574" s="198"/>
    </row>
    <row r="575" spans="2:17">
      <c r="B575" s="167"/>
      <c r="C575" s="173"/>
      <c r="H575" s="132"/>
      <c r="Q575" s="198"/>
    </row>
    <row r="576" spans="2:17">
      <c r="B576" s="10"/>
      <c r="H576" s="175"/>
    </row>
    <row r="577" spans="1:17">
      <c r="B577" s="167"/>
      <c r="H577" s="175"/>
    </row>
    <row r="578" spans="1:17">
      <c r="B578" s="167"/>
      <c r="C578" s="173"/>
      <c r="H578" s="132"/>
      <c r="Q578" s="198"/>
    </row>
    <row r="579" spans="1:17">
      <c r="B579" s="167"/>
      <c r="C579" s="173"/>
      <c r="H579" s="132"/>
      <c r="Q579" s="198"/>
    </row>
    <row r="580" spans="1:17">
      <c r="B580" s="10"/>
      <c r="H580" s="175"/>
    </row>
    <row r="581" spans="1:17">
      <c r="B581" s="167"/>
      <c r="H581" s="175"/>
    </row>
    <row r="582" spans="1:17">
      <c r="B582" s="167"/>
      <c r="C582" s="173"/>
      <c r="H582" s="132"/>
      <c r="Q582" s="198"/>
    </row>
    <row r="583" spans="1:17">
      <c r="B583" s="167"/>
      <c r="C583" s="173"/>
      <c r="H583" s="132"/>
      <c r="Q583" s="198"/>
    </row>
    <row r="584" spans="1:17">
      <c r="B584" s="10"/>
      <c r="H584" s="175"/>
    </row>
    <row r="585" spans="1:17">
      <c r="B585" s="167"/>
      <c r="H585" s="175"/>
    </row>
    <row r="586" spans="1:17">
      <c r="B586" s="167"/>
      <c r="C586" s="173"/>
      <c r="H586" s="132"/>
      <c r="Q586" s="198"/>
    </row>
    <row r="587" spans="1:17">
      <c r="B587" s="167"/>
      <c r="C587" s="173"/>
      <c r="H587" s="132"/>
      <c r="Q587" s="198"/>
    </row>
    <row r="588" spans="1:17">
      <c r="B588" s="10"/>
      <c r="H588" s="175"/>
    </row>
    <row r="589" spans="1:17">
      <c r="B589" s="167"/>
      <c r="H589" s="175"/>
    </row>
    <row r="590" spans="1:17">
      <c r="B590" s="167"/>
      <c r="C590" s="173"/>
      <c r="H590" s="132"/>
      <c r="Q590" s="198"/>
    </row>
    <row r="591" spans="1:17">
      <c r="B591" s="167"/>
      <c r="C591" s="173"/>
      <c r="H591" s="132"/>
    </row>
    <row r="592" spans="1:17">
      <c r="A592" s="6"/>
      <c r="B592" s="10"/>
      <c r="C592" s="75"/>
      <c r="D592" s="2"/>
      <c r="F592" s="2"/>
      <c r="G592" s="94"/>
      <c r="H592" s="15"/>
      <c r="Q592" s="89"/>
    </row>
    <row r="593" spans="1:17">
      <c r="A593" s="6"/>
      <c r="B593" s="10"/>
      <c r="C593" s="2"/>
      <c r="D593" s="2"/>
      <c r="F593" s="2"/>
      <c r="G593" s="94"/>
      <c r="H593" s="2"/>
      <c r="Q593" s="89"/>
    </row>
    <row r="594" spans="1:17">
      <c r="A594" s="6"/>
      <c r="B594" s="10"/>
      <c r="C594" s="4"/>
      <c r="D594" s="2"/>
      <c r="F594" s="2"/>
      <c r="G594" s="89"/>
      <c r="H594" s="2"/>
      <c r="Q594" s="89"/>
    </row>
    <row r="595" spans="1:17">
      <c r="B595" s="167"/>
      <c r="H595" s="132"/>
    </row>
    <row r="596" spans="1:17" ht="81.2" customHeight="1">
      <c r="B596" s="189"/>
      <c r="H596" s="175"/>
    </row>
    <row r="597" spans="1:17">
      <c r="B597" s="189"/>
      <c r="H597" s="175"/>
    </row>
    <row r="598" spans="1:17">
      <c r="B598" s="167"/>
      <c r="C598" s="173"/>
      <c r="H598" s="132"/>
      <c r="K598" s="190"/>
    </row>
    <row r="599" spans="1:17">
      <c r="B599" s="167"/>
      <c r="H599" s="175"/>
      <c r="I599" s="136"/>
      <c r="J599" s="136"/>
      <c r="M599" s="136"/>
      <c r="N599" s="136"/>
      <c r="O599" s="136"/>
    </row>
    <row r="600" spans="1:17">
      <c r="B600" s="167"/>
      <c r="H600" s="175"/>
      <c r="I600" s="136"/>
      <c r="J600" s="136"/>
      <c r="M600" s="136"/>
      <c r="N600" s="136"/>
      <c r="O600" s="136"/>
    </row>
    <row r="601" spans="1:17">
      <c r="B601" s="167"/>
      <c r="H601" s="175"/>
      <c r="I601" s="136"/>
      <c r="J601" s="136"/>
      <c r="M601" s="136"/>
      <c r="N601" s="136"/>
      <c r="O601" s="136"/>
    </row>
    <row r="602" spans="1:17">
      <c r="B602" s="167"/>
      <c r="C602" s="173"/>
      <c r="H602" s="132"/>
      <c r="I602" s="136"/>
      <c r="J602" s="136"/>
      <c r="M602" s="136"/>
      <c r="N602" s="136"/>
      <c r="O602" s="136"/>
    </row>
    <row r="603" spans="1:17">
      <c r="B603" s="167"/>
      <c r="C603" s="173"/>
      <c r="H603" s="132"/>
      <c r="I603" s="136"/>
      <c r="J603" s="136"/>
      <c r="M603" s="136"/>
      <c r="N603" s="136"/>
      <c r="O603" s="136"/>
    </row>
    <row r="604" spans="1:17">
      <c r="B604" s="167"/>
      <c r="H604" s="175"/>
      <c r="I604" s="136"/>
      <c r="J604" s="136"/>
      <c r="M604" s="136"/>
      <c r="N604" s="136"/>
      <c r="O604" s="136"/>
    </row>
    <row r="605" spans="1:17">
      <c r="B605" s="167"/>
      <c r="H605" s="175"/>
      <c r="I605" s="136"/>
      <c r="J605" s="136"/>
      <c r="M605" s="136"/>
      <c r="N605" s="136"/>
      <c r="O605" s="136"/>
    </row>
    <row r="606" spans="1:17">
      <c r="B606" s="167"/>
      <c r="C606" s="173"/>
      <c r="H606" s="132"/>
      <c r="I606" s="136"/>
      <c r="J606" s="136"/>
      <c r="M606" s="136"/>
      <c r="N606" s="136"/>
      <c r="O606" s="136"/>
    </row>
    <row r="607" spans="1:17">
      <c r="B607" s="167"/>
      <c r="H607" s="132"/>
      <c r="I607" s="136"/>
      <c r="J607" s="136"/>
      <c r="M607" s="136"/>
      <c r="N607" s="136"/>
      <c r="O607" s="136"/>
    </row>
    <row r="608" spans="1:17" s="5" customFormat="1">
      <c r="A608" s="6"/>
      <c r="B608" s="10"/>
      <c r="C608" s="2"/>
      <c r="D608" s="2"/>
      <c r="E608" s="133"/>
      <c r="F608" s="2"/>
      <c r="G608" s="105"/>
      <c r="H608" s="15"/>
      <c r="Q608" s="89"/>
    </row>
    <row r="609" spans="1:17" s="5" customFormat="1">
      <c r="A609" s="6"/>
      <c r="B609" s="10"/>
      <c r="C609" s="2"/>
      <c r="D609" s="2"/>
      <c r="E609" s="133"/>
      <c r="F609" s="2"/>
      <c r="G609" s="105"/>
      <c r="H609" s="15"/>
      <c r="Q609" s="89"/>
    </row>
    <row r="610" spans="1:17" s="5" customFormat="1">
      <c r="A610" s="6"/>
      <c r="B610" s="10"/>
      <c r="C610" s="4"/>
      <c r="D610" s="2"/>
      <c r="E610" s="133"/>
      <c r="F610" s="2"/>
      <c r="G610" s="105"/>
      <c r="H610" s="2"/>
      <c r="Q610" s="89"/>
    </row>
    <row r="611" spans="1:17" s="5" customFormat="1">
      <c r="A611" s="6"/>
      <c r="B611" s="10"/>
      <c r="C611" s="4"/>
      <c r="D611" s="2"/>
      <c r="E611" s="133"/>
      <c r="F611" s="2"/>
      <c r="G611" s="105"/>
      <c r="H611" s="2"/>
      <c r="Q611" s="89"/>
    </row>
    <row r="612" spans="1:17" s="5" customFormat="1">
      <c r="A612" s="6"/>
      <c r="B612" s="10"/>
      <c r="C612" s="2"/>
      <c r="D612" s="2"/>
      <c r="E612" s="133"/>
      <c r="F612" s="2"/>
      <c r="G612" s="105"/>
      <c r="H612" s="15"/>
      <c r="Q612" s="89"/>
    </row>
    <row r="613" spans="1:17" s="5" customFormat="1">
      <c r="A613" s="6"/>
      <c r="B613" s="10"/>
      <c r="C613" s="2"/>
      <c r="D613" s="2"/>
      <c r="E613" s="133"/>
      <c r="F613" s="2"/>
      <c r="G613" s="105"/>
      <c r="H613" s="15"/>
      <c r="Q613" s="89"/>
    </row>
    <row r="614" spans="1:17" s="5" customFormat="1">
      <c r="A614" s="6"/>
      <c r="B614" s="10"/>
      <c r="C614" s="76"/>
      <c r="D614" s="2"/>
      <c r="E614" s="133"/>
      <c r="F614" s="2"/>
      <c r="G614" s="105"/>
      <c r="H614" s="2"/>
      <c r="Q614" s="89"/>
    </row>
    <row r="615" spans="1:17" s="5" customFormat="1">
      <c r="A615" s="6"/>
      <c r="B615" s="10"/>
      <c r="C615" s="4"/>
      <c r="D615" s="2"/>
      <c r="E615" s="133"/>
      <c r="F615" s="2"/>
      <c r="G615" s="105"/>
      <c r="H615" s="2"/>
      <c r="Q615" s="89"/>
    </row>
    <row r="616" spans="1:17" s="5" customFormat="1">
      <c r="A616" s="6"/>
      <c r="B616" s="10"/>
      <c r="C616" s="2"/>
      <c r="D616" s="2"/>
      <c r="E616" s="133"/>
      <c r="F616" s="2"/>
      <c r="G616" s="105"/>
      <c r="H616" s="15"/>
      <c r="Q616" s="89"/>
    </row>
    <row r="617" spans="1:17" s="5" customFormat="1">
      <c r="A617" s="6"/>
      <c r="B617" s="10"/>
      <c r="C617" s="2"/>
      <c r="D617" s="2"/>
      <c r="E617" s="133"/>
      <c r="F617" s="2"/>
      <c r="G617" s="105"/>
      <c r="H617" s="15"/>
      <c r="Q617" s="89"/>
    </row>
    <row r="618" spans="1:17" s="5" customFormat="1">
      <c r="A618" s="6"/>
      <c r="B618" s="10"/>
      <c r="C618" s="4"/>
      <c r="D618" s="2"/>
      <c r="E618" s="133"/>
      <c r="F618" s="2"/>
      <c r="G618" s="105"/>
      <c r="H618" s="2"/>
      <c r="Q618" s="89"/>
    </row>
    <row r="619" spans="1:17" s="5" customFormat="1">
      <c r="A619" s="6"/>
      <c r="B619" s="10"/>
      <c r="C619" s="4"/>
      <c r="D619" s="2"/>
      <c r="E619" s="133"/>
      <c r="F619" s="2"/>
      <c r="G619" s="105"/>
      <c r="H619" s="2"/>
      <c r="Q619" s="89"/>
    </row>
    <row r="620" spans="1:17" s="5" customFormat="1" ht="80.25" customHeight="1">
      <c r="A620" s="6"/>
      <c r="B620" s="10"/>
      <c r="C620" s="2"/>
      <c r="D620" s="2"/>
      <c r="E620" s="133"/>
      <c r="F620" s="2"/>
      <c r="G620" s="105"/>
      <c r="H620" s="15"/>
      <c r="Q620" s="89"/>
    </row>
    <row r="621" spans="1:17" s="5" customFormat="1">
      <c r="A621" s="6"/>
      <c r="B621" s="10"/>
      <c r="C621" s="2"/>
      <c r="D621" s="2"/>
      <c r="E621" s="133"/>
      <c r="F621" s="2"/>
      <c r="G621" s="105"/>
      <c r="H621" s="15"/>
      <c r="Q621" s="89"/>
    </row>
    <row r="622" spans="1:17" s="5" customFormat="1">
      <c r="A622" s="6"/>
      <c r="B622" s="10"/>
      <c r="C622" s="4"/>
      <c r="D622" s="2"/>
      <c r="E622" s="133"/>
      <c r="F622" s="2"/>
      <c r="G622" s="105"/>
      <c r="H622" s="2"/>
      <c r="Q622" s="89"/>
    </row>
    <row r="623" spans="1:17" s="5" customFormat="1">
      <c r="A623" s="6"/>
      <c r="B623" s="10"/>
      <c r="C623" s="2"/>
      <c r="D623" s="2"/>
      <c r="E623" s="133"/>
      <c r="F623" s="2"/>
      <c r="G623" s="105"/>
      <c r="H623" s="2"/>
      <c r="Q623" s="89"/>
    </row>
    <row r="624" spans="1:17" s="5" customFormat="1" ht="81.2" customHeight="1">
      <c r="A624" s="6"/>
      <c r="B624" s="10"/>
      <c r="C624" s="2"/>
      <c r="D624" s="2"/>
      <c r="E624" s="133"/>
      <c r="F624" s="2"/>
      <c r="G624" s="105"/>
      <c r="H624" s="15"/>
      <c r="Q624" s="89"/>
    </row>
    <row r="625" spans="1:17" s="5" customFormat="1">
      <c r="A625" s="6"/>
      <c r="B625" s="10"/>
      <c r="C625" s="2"/>
      <c r="D625" s="2"/>
      <c r="E625" s="133"/>
      <c r="F625" s="2"/>
      <c r="G625" s="105"/>
      <c r="H625" s="15"/>
      <c r="Q625" s="89"/>
    </row>
    <row r="626" spans="1:17" s="5" customFormat="1">
      <c r="A626" s="6"/>
      <c r="B626" s="10"/>
      <c r="C626" s="4"/>
      <c r="D626" s="2"/>
      <c r="E626" s="133"/>
      <c r="F626" s="2"/>
      <c r="G626" s="105"/>
      <c r="H626" s="2"/>
      <c r="Q626" s="89"/>
    </row>
    <row r="627" spans="1:17" s="5" customFormat="1">
      <c r="A627" s="6"/>
      <c r="B627" s="10"/>
      <c r="C627" s="4"/>
      <c r="D627" s="2"/>
      <c r="E627" s="133"/>
      <c r="F627" s="2"/>
      <c r="G627" s="105"/>
      <c r="H627" s="2"/>
      <c r="Q627" s="89"/>
    </row>
    <row r="628" spans="1:17" s="5" customFormat="1">
      <c r="A628" s="6"/>
      <c r="B628" s="10"/>
      <c r="C628" s="2"/>
      <c r="D628" s="2"/>
      <c r="E628" s="133"/>
      <c r="F628" s="2"/>
      <c r="G628" s="105"/>
      <c r="H628" s="15"/>
      <c r="Q628" s="89"/>
    </row>
    <row r="629" spans="1:17" s="5" customFormat="1">
      <c r="A629" s="6"/>
      <c r="B629" s="10"/>
      <c r="C629" s="2"/>
      <c r="D629" s="2"/>
      <c r="E629" s="133"/>
      <c r="F629" s="2"/>
      <c r="G629" s="105"/>
      <c r="H629" s="15"/>
      <c r="Q629" s="89"/>
    </row>
    <row r="630" spans="1:17" s="5" customFormat="1">
      <c r="A630" s="6"/>
      <c r="B630" s="10"/>
      <c r="C630" s="4"/>
      <c r="D630" s="2"/>
      <c r="E630" s="133"/>
      <c r="F630" s="2"/>
      <c r="G630" s="105"/>
      <c r="H630" s="2"/>
      <c r="K630" s="77"/>
      <c r="Q630" s="89"/>
    </row>
    <row r="631" spans="1:17" s="5" customFormat="1">
      <c r="A631" s="6"/>
      <c r="B631" s="10"/>
      <c r="C631" s="4"/>
      <c r="D631" s="2"/>
      <c r="E631" s="133"/>
      <c r="F631" s="2"/>
      <c r="G631" s="105"/>
      <c r="H631" s="2"/>
      <c r="K631" s="77"/>
      <c r="Q631" s="89"/>
    </row>
    <row r="632" spans="1:17" s="5" customFormat="1">
      <c r="A632" s="6"/>
      <c r="B632" s="10"/>
      <c r="C632" s="2"/>
      <c r="D632" s="2"/>
      <c r="E632" s="133"/>
      <c r="F632" s="2"/>
      <c r="G632" s="105"/>
      <c r="H632" s="15"/>
      <c r="J632" s="10"/>
      <c r="Q632" s="89"/>
    </row>
    <row r="633" spans="1:17" s="5" customFormat="1">
      <c r="A633" s="6"/>
      <c r="B633" s="10"/>
      <c r="C633" s="2"/>
      <c r="D633" s="2"/>
      <c r="E633" s="133"/>
      <c r="F633" s="2"/>
      <c r="G633" s="105"/>
      <c r="H633" s="15"/>
      <c r="Q633" s="89"/>
    </row>
    <row r="634" spans="1:17" s="5" customFormat="1">
      <c r="A634" s="6"/>
      <c r="B634" s="10"/>
      <c r="C634" s="4"/>
      <c r="D634" s="2"/>
      <c r="E634" s="133"/>
      <c r="F634" s="2"/>
      <c r="G634" s="105"/>
      <c r="H634" s="2"/>
      <c r="K634" s="77"/>
      <c r="Q634" s="89"/>
    </row>
    <row r="635" spans="1:17" s="5" customFormat="1">
      <c r="A635" s="6"/>
      <c r="B635" s="10"/>
      <c r="C635" s="4"/>
      <c r="D635" s="2"/>
      <c r="E635" s="133"/>
      <c r="F635" s="2"/>
      <c r="G635" s="105"/>
      <c r="H635" s="2"/>
      <c r="K635" s="77"/>
      <c r="Q635" s="89"/>
    </row>
    <row r="636" spans="1:17" s="5" customFormat="1">
      <c r="A636" s="6"/>
      <c r="B636" s="10"/>
      <c r="C636" s="2"/>
      <c r="D636" s="2"/>
      <c r="E636" s="133"/>
      <c r="F636" s="2"/>
      <c r="G636" s="105"/>
      <c r="H636" s="15"/>
      <c r="J636" s="10"/>
      <c r="Q636" s="89"/>
    </row>
    <row r="637" spans="1:17" s="5" customFormat="1">
      <c r="A637" s="6"/>
      <c r="B637" s="10"/>
      <c r="C637" s="2"/>
      <c r="D637" s="2"/>
      <c r="E637" s="133"/>
      <c r="F637" s="2"/>
      <c r="G637" s="105"/>
      <c r="H637" s="15"/>
      <c r="Q637" s="89"/>
    </row>
    <row r="638" spans="1:17" s="5" customFormat="1">
      <c r="A638" s="6"/>
      <c r="B638" s="10"/>
      <c r="C638" s="4"/>
      <c r="D638" s="2"/>
      <c r="E638" s="133"/>
      <c r="F638" s="2"/>
      <c r="G638" s="105"/>
      <c r="H638" s="2"/>
      <c r="K638" s="77"/>
      <c r="Q638" s="89"/>
    </row>
    <row r="639" spans="1:17" s="5" customFormat="1">
      <c r="A639" s="6"/>
      <c r="B639" s="10"/>
      <c r="C639" s="4"/>
      <c r="D639" s="2"/>
      <c r="E639" s="133"/>
      <c r="F639" s="2"/>
      <c r="G639" s="105"/>
      <c r="H639" s="2"/>
      <c r="K639" s="77"/>
      <c r="Q639" s="89"/>
    </row>
    <row r="640" spans="1:17" s="5" customFormat="1" ht="96.75" customHeight="1">
      <c r="A640" s="6"/>
      <c r="B640" s="10"/>
      <c r="C640" s="2"/>
      <c r="D640" s="2"/>
      <c r="E640" s="133"/>
      <c r="F640" s="2"/>
      <c r="G640" s="105"/>
      <c r="H640" s="15"/>
      <c r="Q640" s="89"/>
    </row>
    <row r="641" spans="1:17" s="5" customFormat="1">
      <c r="A641" s="6"/>
      <c r="B641" s="10"/>
      <c r="C641" s="2"/>
      <c r="D641" s="2"/>
      <c r="E641" s="133"/>
      <c r="F641" s="2"/>
      <c r="G641" s="105"/>
      <c r="H641" s="15"/>
      <c r="Q641" s="89"/>
    </row>
    <row r="642" spans="1:17" s="5" customFormat="1">
      <c r="A642" s="6"/>
      <c r="B642" s="10"/>
      <c r="C642" s="4"/>
      <c r="D642" s="2"/>
      <c r="E642" s="133"/>
      <c r="F642" s="2"/>
      <c r="G642" s="105"/>
      <c r="H642" s="2"/>
      <c r="K642" s="77"/>
      <c r="Q642" s="89"/>
    </row>
    <row r="643" spans="1:17" s="5" customFormat="1">
      <c r="A643" s="6"/>
      <c r="B643" s="10"/>
      <c r="C643" s="2"/>
      <c r="D643" s="2"/>
      <c r="E643" s="133"/>
      <c r="F643" s="2"/>
      <c r="G643" s="105"/>
      <c r="H643" s="2"/>
      <c r="K643" s="77"/>
      <c r="Q643" s="89"/>
    </row>
    <row r="644" spans="1:17" s="5" customFormat="1" ht="105" customHeight="1">
      <c r="A644" s="6"/>
      <c r="B644" s="10"/>
      <c r="C644" s="2"/>
      <c r="D644" s="2"/>
      <c r="E644" s="133"/>
      <c r="F644" s="2"/>
      <c r="G644" s="105"/>
      <c r="H644" s="15"/>
      <c r="Q644" s="89"/>
    </row>
    <row r="645" spans="1:17" s="5" customFormat="1">
      <c r="A645" s="6"/>
      <c r="B645" s="10"/>
      <c r="C645" s="2"/>
      <c r="D645" s="2"/>
      <c r="E645" s="133"/>
      <c r="F645" s="2"/>
      <c r="G645" s="105"/>
      <c r="H645" s="15"/>
      <c r="Q645" s="89"/>
    </row>
    <row r="646" spans="1:17" s="5" customFormat="1">
      <c r="A646" s="6"/>
      <c r="B646" s="10"/>
      <c r="C646" s="4"/>
      <c r="D646" s="2"/>
      <c r="E646" s="133"/>
      <c r="F646" s="2"/>
      <c r="G646" s="105"/>
      <c r="H646" s="2"/>
      <c r="K646" s="77"/>
      <c r="Q646" s="89"/>
    </row>
    <row r="647" spans="1:17">
      <c r="B647" s="167"/>
      <c r="H647" s="175"/>
      <c r="I647" s="136"/>
      <c r="J647" s="136"/>
      <c r="M647" s="136"/>
      <c r="N647" s="136"/>
      <c r="O647" s="136"/>
    </row>
    <row r="648" spans="1:17" s="5" customFormat="1">
      <c r="A648" s="6"/>
      <c r="B648" s="10"/>
      <c r="C648" s="2"/>
      <c r="D648" s="2"/>
      <c r="E648" s="133"/>
      <c r="F648" s="2"/>
      <c r="G648" s="105"/>
      <c r="H648" s="15"/>
      <c r="Q648" s="89"/>
    </row>
    <row r="649" spans="1:17" s="5" customFormat="1">
      <c r="A649" s="6"/>
      <c r="B649" s="10"/>
      <c r="C649" s="2"/>
      <c r="D649" s="2"/>
      <c r="E649" s="133"/>
      <c r="F649" s="2"/>
      <c r="G649" s="105"/>
      <c r="H649" s="15"/>
      <c r="Q649" s="89"/>
    </row>
    <row r="650" spans="1:17" s="5" customFormat="1">
      <c r="A650" s="6"/>
      <c r="B650" s="10"/>
      <c r="C650" s="76"/>
      <c r="D650" s="2"/>
      <c r="E650" s="133"/>
      <c r="F650" s="2"/>
      <c r="G650" s="105"/>
      <c r="H650" s="2"/>
      <c r="Q650" s="89"/>
    </row>
    <row r="651" spans="1:17" s="5" customFormat="1">
      <c r="A651" s="6"/>
      <c r="B651" s="10"/>
      <c r="C651" s="76"/>
      <c r="D651" s="2"/>
      <c r="E651" s="133"/>
      <c r="F651" s="2"/>
      <c r="G651" s="105"/>
      <c r="H651" s="2"/>
      <c r="Q651" s="89"/>
    </row>
    <row r="652" spans="1:17" s="5" customFormat="1">
      <c r="A652" s="6"/>
      <c r="B652" s="10"/>
      <c r="C652" s="2"/>
      <c r="D652" s="2"/>
      <c r="E652" s="133"/>
      <c r="F652" s="2"/>
      <c r="G652" s="105"/>
      <c r="H652" s="15"/>
      <c r="Q652" s="89"/>
    </row>
    <row r="653" spans="1:17" s="5" customFormat="1">
      <c r="A653" s="6"/>
      <c r="B653" s="10"/>
      <c r="C653" s="2"/>
      <c r="D653" s="2"/>
      <c r="E653" s="133"/>
      <c r="F653" s="2"/>
      <c r="G653" s="105"/>
      <c r="H653" s="15"/>
      <c r="Q653" s="89"/>
    </row>
    <row r="654" spans="1:17" s="5" customFormat="1">
      <c r="A654" s="6"/>
      <c r="B654" s="10"/>
      <c r="C654" s="76"/>
      <c r="D654" s="2"/>
      <c r="E654" s="133"/>
      <c r="F654" s="2"/>
      <c r="G654" s="105"/>
      <c r="H654" s="2"/>
      <c r="Q654" s="89"/>
    </row>
    <row r="655" spans="1:17" s="5" customFormat="1">
      <c r="A655" s="6"/>
      <c r="B655" s="10"/>
      <c r="C655" s="75"/>
      <c r="D655" s="2"/>
      <c r="E655" s="133"/>
      <c r="F655" s="2"/>
      <c r="G655" s="105"/>
      <c r="H655" s="2"/>
      <c r="Q655" s="89"/>
    </row>
    <row r="656" spans="1:17" s="5" customFormat="1" ht="92.25" customHeight="1">
      <c r="A656" s="6"/>
      <c r="B656" s="10"/>
      <c r="C656" s="2"/>
      <c r="D656" s="2"/>
      <c r="E656" s="133"/>
      <c r="F656" s="2"/>
      <c r="G656" s="105"/>
      <c r="H656" s="15"/>
      <c r="Q656" s="89"/>
    </row>
    <row r="657" spans="1:17" s="5" customFormat="1">
      <c r="A657" s="6"/>
      <c r="B657" s="10"/>
      <c r="C657" s="2"/>
      <c r="D657" s="2"/>
      <c r="E657" s="133"/>
      <c r="F657" s="2"/>
      <c r="G657" s="105"/>
      <c r="H657" s="15"/>
      <c r="Q657" s="89"/>
    </row>
    <row r="658" spans="1:17" s="5" customFormat="1">
      <c r="A658" s="6"/>
      <c r="B658" s="10"/>
      <c r="C658" s="76"/>
      <c r="D658" s="2"/>
      <c r="E658" s="133"/>
      <c r="F658" s="2"/>
      <c r="G658" s="105"/>
      <c r="H658" s="2"/>
      <c r="Q658" s="89"/>
    </row>
    <row r="659" spans="1:17" s="5" customFormat="1">
      <c r="A659" s="6"/>
      <c r="B659" s="10"/>
      <c r="C659" s="76"/>
      <c r="D659" s="2"/>
      <c r="E659" s="133"/>
      <c r="F659" s="2"/>
      <c r="G659" s="105"/>
      <c r="H659" s="2"/>
      <c r="Q659" s="89"/>
    </row>
    <row r="660" spans="1:17" s="5" customFormat="1">
      <c r="A660" s="6"/>
      <c r="B660" s="10"/>
      <c r="C660" s="2"/>
      <c r="D660" s="2"/>
      <c r="E660" s="133"/>
      <c r="F660" s="2"/>
      <c r="G660" s="105"/>
      <c r="H660" s="15"/>
      <c r="Q660" s="89"/>
    </row>
    <row r="661" spans="1:17" s="5" customFormat="1">
      <c r="A661" s="6"/>
      <c r="B661" s="10"/>
      <c r="C661" s="2"/>
      <c r="D661" s="2"/>
      <c r="E661" s="133"/>
      <c r="F661" s="2"/>
      <c r="G661" s="105"/>
      <c r="H661" s="15"/>
      <c r="Q661" s="89"/>
    </row>
    <row r="662" spans="1:17" s="5" customFormat="1">
      <c r="A662" s="6"/>
      <c r="B662" s="10"/>
      <c r="C662" s="76"/>
      <c r="D662" s="2"/>
      <c r="E662" s="133"/>
      <c r="F662" s="2"/>
      <c r="G662" s="105"/>
      <c r="H662" s="2"/>
      <c r="Q662" s="89"/>
    </row>
    <row r="663" spans="1:17" s="5" customFormat="1">
      <c r="A663" s="6"/>
      <c r="B663" s="10"/>
      <c r="C663" s="76"/>
      <c r="D663" s="2"/>
      <c r="E663" s="133"/>
      <c r="F663" s="2"/>
      <c r="G663" s="105"/>
      <c r="H663" s="2"/>
      <c r="Q663" s="89"/>
    </row>
    <row r="664" spans="1:17" s="5" customFormat="1">
      <c r="A664" s="6"/>
      <c r="B664" s="10"/>
      <c r="C664" s="2"/>
      <c r="D664" s="2"/>
      <c r="E664" s="133"/>
      <c r="F664" s="2"/>
      <c r="G664" s="105"/>
      <c r="H664" s="15"/>
      <c r="Q664" s="89"/>
    </row>
    <row r="665" spans="1:17" s="5" customFormat="1">
      <c r="A665" s="6"/>
      <c r="B665" s="10"/>
      <c r="C665" s="2"/>
      <c r="D665" s="2"/>
      <c r="E665" s="133"/>
      <c r="F665" s="2"/>
      <c r="G665" s="105"/>
      <c r="H665" s="15"/>
      <c r="Q665" s="89"/>
    </row>
    <row r="666" spans="1:17" s="5" customFormat="1">
      <c r="A666" s="6"/>
      <c r="B666" s="10"/>
      <c r="C666" s="76"/>
      <c r="D666" s="2"/>
      <c r="E666" s="133"/>
      <c r="F666" s="2"/>
      <c r="G666" s="105"/>
      <c r="H666" s="2"/>
      <c r="Q666" s="94"/>
    </row>
    <row r="667" spans="1:17" s="5" customFormat="1">
      <c r="A667" s="6"/>
      <c r="B667" s="10"/>
      <c r="C667" s="76"/>
      <c r="D667" s="2"/>
      <c r="E667" s="133"/>
      <c r="F667" s="2"/>
      <c r="G667" s="105"/>
      <c r="H667" s="2"/>
      <c r="Q667" s="94"/>
    </row>
    <row r="668" spans="1:17" s="5" customFormat="1">
      <c r="A668" s="6"/>
      <c r="B668" s="10"/>
      <c r="C668" s="2"/>
      <c r="D668" s="2"/>
      <c r="E668" s="133"/>
      <c r="F668" s="2"/>
      <c r="G668" s="105"/>
      <c r="H668" s="15"/>
      <c r="Q668" s="89"/>
    </row>
    <row r="669" spans="1:17" s="5" customFormat="1">
      <c r="A669" s="6"/>
      <c r="B669" s="10"/>
      <c r="C669" s="2"/>
      <c r="D669" s="2"/>
      <c r="E669" s="133"/>
      <c r="F669" s="2"/>
      <c r="G669" s="105"/>
      <c r="H669" s="15"/>
      <c r="Q669" s="89"/>
    </row>
    <row r="670" spans="1:17" s="5" customFormat="1">
      <c r="A670" s="6"/>
      <c r="B670" s="10"/>
      <c r="C670" s="76"/>
      <c r="D670" s="2"/>
      <c r="E670" s="133"/>
      <c r="F670" s="2"/>
      <c r="G670" s="105"/>
      <c r="H670" s="2"/>
      <c r="Q670" s="89"/>
    </row>
    <row r="671" spans="1:17">
      <c r="B671" s="167"/>
      <c r="H671" s="175"/>
      <c r="I671" s="136"/>
      <c r="J671" s="136"/>
      <c r="M671" s="136"/>
      <c r="N671" s="136"/>
      <c r="O671" s="136"/>
    </row>
    <row r="672" spans="1:17">
      <c r="B672" s="167"/>
      <c r="H672" s="175"/>
    </row>
    <row r="673" spans="1:17">
      <c r="B673" s="167"/>
      <c r="H673" s="175"/>
    </row>
    <row r="674" spans="1:17">
      <c r="B674" s="167"/>
      <c r="C674" s="173"/>
      <c r="H674" s="132"/>
      <c r="Q674" s="198"/>
    </row>
    <row r="675" spans="1:17">
      <c r="B675" s="167"/>
      <c r="H675" s="175"/>
      <c r="Q675" s="188"/>
    </row>
    <row r="676" spans="1:17">
      <c r="A676" s="200"/>
      <c r="B676" s="167"/>
      <c r="H676" s="175"/>
      <c r="Q676" s="188"/>
    </row>
    <row r="677" spans="1:17">
      <c r="B677" s="167"/>
      <c r="H677" s="175"/>
      <c r="Q677" s="188"/>
    </row>
    <row r="678" spans="1:17">
      <c r="B678" s="167"/>
      <c r="C678" s="173"/>
      <c r="H678" s="132"/>
      <c r="Q678" s="201"/>
    </row>
    <row r="679" spans="1:17">
      <c r="B679" s="167"/>
      <c r="H679" s="132"/>
      <c r="Q679" s="188"/>
    </row>
    <row r="680" spans="1:17">
      <c r="A680" s="200"/>
      <c r="B680" s="167"/>
      <c r="H680" s="175"/>
      <c r="Q680" s="188"/>
    </row>
    <row r="681" spans="1:17">
      <c r="B681" s="167"/>
      <c r="H681" s="175"/>
      <c r="Q681" s="188"/>
    </row>
    <row r="682" spans="1:17">
      <c r="B682" s="167"/>
      <c r="C682" s="173"/>
      <c r="H682" s="132"/>
      <c r="Q682" s="201"/>
    </row>
    <row r="683" spans="1:17">
      <c r="B683" s="167"/>
      <c r="H683" s="132"/>
      <c r="Q683" s="201"/>
    </row>
    <row r="684" spans="1:17">
      <c r="A684" s="200"/>
      <c r="B684" s="167"/>
      <c r="H684" s="175"/>
      <c r="Q684" s="188"/>
    </row>
    <row r="685" spans="1:17">
      <c r="B685" s="167"/>
      <c r="H685" s="175"/>
      <c r="Q685" s="188"/>
    </row>
    <row r="686" spans="1:17">
      <c r="B686" s="167"/>
      <c r="C686" s="173"/>
      <c r="H686" s="132"/>
      <c r="Q686" s="201"/>
    </row>
    <row r="687" spans="1:17">
      <c r="B687" s="167"/>
      <c r="C687" s="173"/>
      <c r="H687" s="132"/>
      <c r="Q687" s="201"/>
    </row>
    <row r="688" spans="1:17">
      <c r="B688" s="167"/>
      <c r="H688" s="175"/>
    </row>
    <row r="689" spans="1:17">
      <c r="B689" s="167"/>
      <c r="H689" s="149"/>
    </row>
    <row r="690" spans="1:17">
      <c r="B690" s="167"/>
      <c r="C690" s="173"/>
      <c r="H690" s="132"/>
    </row>
    <row r="691" spans="1:17">
      <c r="B691" s="167"/>
      <c r="H691" s="132"/>
    </row>
    <row r="692" spans="1:17">
      <c r="B692" s="167"/>
      <c r="H692" s="175"/>
    </row>
    <row r="693" spans="1:17">
      <c r="B693" s="167"/>
      <c r="H693" s="149"/>
    </row>
    <row r="694" spans="1:17">
      <c r="B694" s="167"/>
      <c r="C694" s="173"/>
      <c r="H694" s="132"/>
    </row>
    <row r="695" spans="1:17">
      <c r="B695" s="167"/>
      <c r="H695" s="175"/>
    </row>
    <row r="696" spans="1:17" s="5" customFormat="1">
      <c r="A696" s="6"/>
      <c r="B696" s="10"/>
      <c r="C696" s="2"/>
      <c r="D696" s="2"/>
      <c r="E696" s="133"/>
      <c r="F696" s="2"/>
      <c r="G696" s="105"/>
      <c r="H696" s="15"/>
      <c r="Q696" s="89"/>
    </row>
    <row r="697" spans="1:17" s="5" customFormat="1">
      <c r="A697" s="6"/>
      <c r="B697" s="10"/>
      <c r="C697" s="2"/>
      <c r="D697" s="2"/>
      <c r="E697" s="133"/>
      <c r="F697" s="2"/>
      <c r="G697" s="105"/>
      <c r="H697" s="15"/>
      <c r="Q697" s="89"/>
    </row>
    <row r="698" spans="1:17" s="5" customFormat="1">
      <c r="A698" s="6"/>
      <c r="B698" s="10"/>
      <c r="C698" s="4"/>
      <c r="D698" s="2"/>
      <c r="E698" s="133"/>
      <c r="F698" s="2"/>
      <c r="G698" s="105"/>
      <c r="H698" s="2"/>
      <c r="Q698" s="89"/>
    </row>
    <row r="699" spans="1:17" s="5" customFormat="1">
      <c r="A699" s="6"/>
      <c r="B699" s="10"/>
      <c r="C699" s="4"/>
      <c r="D699" s="2"/>
      <c r="E699" s="133"/>
      <c r="F699" s="2"/>
      <c r="G699" s="105"/>
      <c r="H699" s="2"/>
      <c r="Q699" s="89"/>
    </row>
    <row r="700" spans="1:17" s="5" customFormat="1">
      <c r="A700" s="6"/>
      <c r="B700" s="10"/>
      <c r="C700" s="2"/>
      <c r="D700" s="2"/>
      <c r="E700" s="133"/>
      <c r="F700" s="2"/>
      <c r="G700" s="105"/>
      <c r="H700" s="15"/>
      <c r="Q700" s="89"/>
    </row>
    <row r="701" spans="1:17" s="5" customFormat="1">
      <c r="A701" s="6"/>
      <c r="B701" s="10"/>
      <c r="C701" s="2"/>
      <c r="D701" s="2"/>
      <c r="E701" s="133"/>
      <c r="F701" s="2"/>
      <c r="G701" s="105"/>
      <c r="H701" s="15"/>
      <c r="Q701" s="89"/>
    </row>
    <row r="702" spans="1:17" s="5" customFormat="1">
      <c r="A702" s="6"/>
      <c r="B702" s="10"/>
      <c r="C702" s="4"/>
      <c r="D702" s="2"/>
      <c r="E702" s="133"/>
      <c r="F702" s="2"/>
      <c r="G702" s="105"/>
      <c r="H702" s="2"/>
      <c r="Q702" s="94"/>
    </row>
    <row r="703" spans="1:17" s="5" customFormat="1">
      <c r="A703" s="6"/>
      <c r="B703" s="10"/>
      <c r="C703" s="2"/>
      <c r="D703" s="2"/>
      <c r="E703" s="115"/>
      <c r="F703" s="2"/>
      <c r="G703" s="105"/>
      <c r="H703" s="15"/>
      <c r="Q703" s="89"/>
    </row>
    <row r="704" spans="1:17" s="178" customFormat="1" ht="12.75">
      <c r="A704" s="141"/>
      <c r="B704" s="167"/>
      <c r="C704" s="132"/>
      <c r="D704" s="132"/>
      <c r="E704" s="133"/>
      <c r="F704" s="132"/>
      <c r="G704" s="134"/>
      <c r="H704" s="175"/>
      <c r="I704" s="176"/>
      <c r="J704" s="177"/>
      <c r="M704" s="179"/>
      <c r="N704" s="179"/>
      <c r="O704" s="179"/>
      <c r="Q704" s="135"/>
    </row>
    <row r="705" spans="1:17">
      <c r="B705" s="167"/>
      <c r="C705" s="169"/>
      <c r="D705" s="169"/>
      <c r="E705" s="172"/>
      <c r="F705" s="169"/>
      <c r="G705" s="170"/>
      <c r="H705" s="178"/>
      <c r="Q705" s="171"/>
    </row>
    <row r="706" spans="1:17">
      <c r="B706" s="167"/>
      <c r="H706" s="132"/>
    </row>
    <row r="707" spans="1:17">
      <c r="B707" s="167"/>
      <c r="H707" s="175"/>
    </row>
    <row r="708" spans="1:17">
      <c r="B708" s="148"/>
      <c r="C708" s="163"/>
      <c r="D708" s="163"/>
      <c r="E708" s="164"/>
      <c r="F708" s="163"/>
      <c r="G708" s="151"/>
      <c r="Q708" s="166"/>
    </row>
    <row r="709" spans="1:17">
      <c r="B709" s="148"/>
      <c r="C709" s="163"/>
      <c r="D709" s="163"/>
      <c r="E709" s="164"/>
      <c r="F709" s="163"/>
      <c r="G709" s="151"/>
      <c r="Q709" s="166"/>
    </row>
    <row r="710" spans="1:17">
      <c r="A710" s="11"/>
      <c r="B710" s="9"/>
      <c r="C710" s="46"/>
      <c r="D710" s="7"/>
      <c r="E710" s="109"/>
      <c r="F710" s="7"/>
      <c r="G710" s="99"/>
      <c r="H710" s="132"/>
      <c r="Q710" s="91"/>
    </row>
    <row r="711" spans="1:17">
      <c r="H711" s="175"/>
    </row>
    <row r="712" spans="1:17">
      <c r="H712" s="175"/>
    </row>
    <row r="713" spans="1:17">
      <c r="H713" s="175"/>
    </row>
    <row r="714" spans="1:17">
      <c r="B714" s="167"/>
      <c r="C714" s="173"/>
      <c r="E714" s="135"/>
      <c r="H714" s="132"/>
    </row>
    <row r="715" spans="1:17">
      <c r="B715" s="167"/>
      <c r="C715" s="173"/>
      <c r="H715" s="132"/>
    </row>
    <row r="716" spans="1:17" s="5" customFormat="1">
      <c r="A716" s="6"/>
      <c r="B716" s="3"/>
      <c r="C716" s="2"/>
      <c r="D716" s="2"/>
      <c r="E716" s="133"/>
      <c r="F716" s="2"/>
      <c r="G716" s="105"/>
      <c r="H716" s="15"/>
      <c r="I716" s="25"/>
      <c r="J716" s="21"/>
      <c r="M716" s="29"/>
      <c r="N716" s="29"/>
      <c r="O716" s="29"/>
      <c r="Q716" s="89"/>
    </row>
    <row r="717" spans="1:17" s="5" customFormat="1">
      <c r="A717" s="6"/>
      <c r="B717" s="3"/>
      <c r="C717" s="2"/>
      <c r="D717" s="2"/>
      <c r="E717" s="133"/>
      <c r="F717" s="2"/>
      <c r="G717" s="105"/>
      <c r="H717" s="15"/>
      <c r="I717" s="25"/>
      <c r="J717" s="21"/>
      <c r="M717" s="29"/>
      <c r="N717" s="29"/>
      <c r="O717" s="29"/>
      <c r="Q717" s="89"/>
    </row>
    <row r="718" spans="1:17" s="5" customFormat="1">
      <c r="A718" s="6"/>
      <c r="B718" s="10"/>
      <c r="C718" s="74"/>
      <c r="D718" s="2"/>
      <c r="E718" s="133"/>
      <c r="F718" s="2"/>
      <c r="G718" s="105"/>
      <c r="H718" s="2"/>
      <c r="I718" s="25"/>
      <c r="J718" s="21"/>
      <c r="M718" s="29"/>
      <c r="N718" s="29"/>
      <c r="O718" s="29"/>
      <c r="Q718" s="89"/>
    </row>
    <row r="719" spans="1:17">
      <c r="H719" s="175"/>
    </row>
    <row r="720" spans="1:17">
      <c r="H720" s="175"/>
    </row>
    <row r="721" spans="1:17">
      <c r="H721" s="175"/>
    </row>
    <row r="722" spans="1:17">
      <c r="B722" s="167"/>
      <c r="C722" s="173"/>
      <c r="H722" s="132"/>
    </row>
    <row r="723" spans="1:17">
      <c r="H723" s="175"/>
    </row>
    <row r="724" spans="1:17">
      <c r="H724" s="175"/>
    </row>
    <row r="725" spans="1:17">
      <c r="H725" s="175"/>
    </row>
    <row r="726" spans="1:17">
      <c r="B726" s="167"/>
      <c r="C726" s="173"/>
      <c r="H726" s="132"/>
    </row>
    <row r="727" spans="1:17">
      <c r="H727" s="175"/>
    </row>
    <row r="728" spans="1:17">
      <c r="A728" s="147"/>
      <c r="B728" s="9"/>
      <c r="C728" s="163"/>
      <c r="D728" s="163"/>
      <c r="E728" s="164"/>
      <c r="F728" s="163"/>
      <c r="G728" s="151"/>
      <c r="Q728" s="166"/>
    </row>
    <row r="729" spans="1:17">
      <c r="H729" s="175"/>
    </row>
    <row r="730" spans="1:17">
      <c r="H730" s="175"/>
    </row>
  </sheetData>
  <sheetProtection selectLockedCells="1"/>
  <mergeCells count="2">
    <mergeCell ref="D24:G24"/>
    <mergeCell ref="D30:G30"/>
  </mergeCells>
  <conditionalFormatting sqref="C41:G72">
    <cfRule type="cellIs" dxfId="5" priority="2" stopIfTrue="1" operator="greaterThan">
      <formula>0</formula>
    </cfRule>
  </conditionalFormatting>
  <conditionalFormatting sqref="C75:G111 G147 G149">
    <cfRule type="cellIs" dxfId="4" priority="10" stopIfTrue="1" operator="greaterThan">
      <formula>0</formula>
    </cfRule>
  </conditionalFormatting>
  <conditionalFormatting sqref="C115:G144">
    <cfRule type="cellIs" dxfId="3" priority="1" stopIfTrue="1" operator="greaterThan">
      <formula>0</formula>
    </cfRule>
  </conditionalFormatting>
  <pageMargins left="1.1023622047244095" right="0.35433070866141736" top="0.59055118110236227" bottom="0.59055118110236227" header="0.39370078740157483" footer="0.39370078740157483"/>
  <pageSetup paperSize="9" orientation="portrait" useFirstPageNumber="1" r:id="rId1"/>
  <headerFooter alignWithMargins="0">
    <oddHeader>&amp;R&amp;"Arial,Navadno"&amp;9TLAČNI VOD TPV1</oddHeader>
    <oddFooter>&amp;C&amp;"Arial,Navadno"&amp;10&amp;P</oddFooter>
  </headerFooter>
  <rowBreaks count="4" manualBreakCount="4">
    <brk id="71" max="6" man="1"/>
    <brk id="107" max="6" man="1"/>
    <brk id="127" max="6" man="1"/>
    <brk id="143" max="6"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Q744"/>
  <sheetViews>
    <sheetView view="pageBreakPreview" topLeftCell="A24" zoomScale="60" zoomScaleNormal="100" workbookViewId="0">
      <selection activeCell="E43" sqref="E43:E158"/>
    </sheetView>
  </sheetViews>
  <sheetFormatPr defaultColWidth="8.6640625" defaultRowHeight="15.75"/>
  <cols>
    <col min="1" max="1" width="6" style="141" customWidth="1"/>
    <col min="2" max="2" width="27.44140625" style="161" customWidth="1"/>
    <col min="3" max="3" width="7.44140625" style="132" customWidth="1"/>
    <col min="4" max="4" width="3.6640625" style="132" customWidth="1"/>
    <col min="5" max="5" width="7.5546875" style="133" bestFit="1" customWidth="1"/>
    <col min="6" max="6" width="3.6640625" style="132" customWidth="1"/>
    <col min="7" max="7" width="15.109375" style="134" customWidth="1"/>
    <col min="8" max="8" width="3.6640625" style="136" customWidth="1"/>
    <col min="9" max="9" width="3.6640625" style="137" customWidth="1"/>
    <col min="10" max="10" width="12.109375" style="138" customWidth="1"/>
    <col min="11" max="11" width="17.6640625" style="136" customWidth="1"/>
    <col min="12" max="12" width="15.5546875" style="136" customWidth="1"/>
    <col min="13" max="15" width="8.6640625" style="139" customWidth="1"/>
    <col min="16" max="16" width="8.6640625" style="136" customWidth="1"/>
    <col min="17" max="17" width="11.109375" style="135" customWidth="1"/>
    <col min="18" max="16384" width="8.6640625" style="136"/>
  </cols>
  <sheetData>
    <row r="1" spans="1:17" s="130" customFormat="1" ht="15.95" customHeight="1">
      <c r="A1" s="128"/>
      <c r="B1" s="129" t="s">
        <v>11</v>
      </c>
      <c r="C1" s="1" t="s">
        <v>123</v>
      </c>
      <c r="D1" s="33"/>
      <c r="E1" s="33"/>
      <c r="F1" s="2"/>
      <c r="G1" s="96"/>
      <c r="H1" s="78"/>
      <c r="Q1" s="90"/>
    </row>
    <row r="2" spans="1:17" s="130" customFormat="1" ht="15.95" customHeight="1">
      <c r="A2" s="128"/>
      <c r="B2" s="129"/>
      <c r="C2" s="1" t="s">
        <v>124</v>
      </c>
      <c r="D2" s="33"/>
      <c r="E2" s="33"/>
      <c r="F2" s="2"/>
      <c r="G2" s="96"/>
      <c r="H2" s="78"/>
      <c r="Q2" s="90"/>
    </row>
    <row r="3" spans="1:17" s="130" customFormat="1">
      <c r="A3" s="128"/>
      <c r="B3" s="129" t="s">
        <v>8</v>
      </c>
      <c r="C3" s="131" t="s">
        <v>233</v>
      </c>
      <c r="D3" s="132"/>
      <c r="E3" s="133"/>
      <c r="F3" s="132"/>
      <c r="G3" s="134"/>
      <c r="Q3" s="135"/>
    </row>
    <row r="4" spans="1:17" s="130" customFormat="1">
      <c r="A4" s="128"/>
      <c r="B4" s="129" t="s">
        <v>144</v>
      </c>
      <c r="C4" s="40" t="s">
        <v>207</v>
      </c>
      <c r="D4" s="33"/>
      <c r="E4" s="106"/>
      <c r="F4" s="2"/>
      <c r="G4" s="134"/>
      <c r="Q4" s="90"/>
    </row>
    <row r="5" spans="1:17" s="130" customFormat="1">
      <c r="A5" s="128"/>
      <c r="B5" s="129" t="s">
        <v>13</v>
      </c>
      <c r="C5" s="1" t="s">
        <v>172</v>
      </c>
      <c r="D5" s="33"/>
      <c r="E5" s="106"/>
      <c r="F5" s="2"/>
      <c r="G5" s="134"/>
      <c r="Q5" s="90"/>
    </row>
    <row r="6" spans="1:17">
      <c r="A6" s="128"/>
      <c r="B6" s="129"/>
      <c r="C6" s="42" t="s">
        <v>173</v>
      </c>
      <c r="D6" s="41"/>
      <c r="E6" s="107"/>
      <c r="F6" s="41"/>
    </row>
    <row r="7" spans="1:17">
      <c r="A7" s="128"/>
      <c r="B7" s="129"/>
      <c r="C7" s="140"/>
    </row>
    <row r="10" spans="1:17" ht="18">
      <c r="A10" s="141" t="s">
        <v>14</v>
      </c>
      <c r="B10" s="142" t="s">
        <v>52</v>
      </c>
      <c r="C10" s="143"/>
      <c r="D10" s="143"/>
      <c r="E10" s="144"/>
      <c r="F10" s="143"/>
      <c r="G10" s="145"/>
      <c r="Q10" s="146"/>
    </row>
    <row r="13" spans="1:17" s="7" customFormat="1">
      <c r="A13" s="8" t="s">
        <v>15</v>
      </c>
      <c r="B13" s="9" t="s">
        <v>16</v>
      </c>
      <c r="C13" s="46"/>
      <c r="E13" s="109"/>
      <c r="G13" s="99"/>
      <c r="I13" s="26"/>
      <c r="J13" s="22"/>
      <c r="M13" s="30"/>
      <c r="N13" s="30"/>
      <c r="O13" s="30"/>
      <c r="Q13" s="91"/>
    </row>
    <row r="14" spans="1:17" s="7" customFormat="1">
      <c r="A14" s="8"/>
      <c r="B14" s="9"/>
      <c r="C14" s="46"/>
      <c r="E14" s="109"/>
      <c r="G14" s="99"/>
      <c r="I14" s="26"/>
      <c r="J14" s="22"/>
      <c r="M14" s="30"/>
      <c r="N14" s="30"/>
      <c r="O14" s="30"/>
      <c r="Q14" s="91"/>
    </row>
    <row r="15" spans="1:17" s="7" customFormat="1">
      <c r="A15" s="147" t="s">
        <v>27</v>
      </c>
      <c r="B15" s="148" t="s">
        <v>26</v>
      </c>
      <c r="C15" s="149"/>
      <c r="D15" s="149"/>
      <c r="E15" s="150"/>
      <c r="F15" s="149"/>
      <c r="G15" s="211"/>
      <c r="H15" s="80"/>
      <c r="I15" s="26"/>
      <c r="J15" s="22"/>
      <c r="K15" s="119"/>
      <c r="M15" s="30"/>
      <c r="N15" s="30"/>
      <c r="O15" s="30"/>
      <c r="Q15" s="152"/>
    </row>
    <row r="16" spans="1:17">
      <c r="A16" s="147" t="s">
        <v>32</v>
      </c>
      <c r="B16" s="148" t="s">
        <v>17</v>
      </c>
      <c r="C16" s="149"/>
      <c r="D16" s="149"/>
      <c r="E16" s="150"/>
      <c r="F16" s="149"/>
      <c r="G16" s="211"/>
      <c r="H16" s="80"/>
      <c r="K16" s="153"/>
      <c r="Q16" s="152"/>
    </row>
    <row r="17" spans="1:17">
      <c r="A17" s="147"/>
      <c r="B17" s="148"/>
      <c r="C17" s="149"/>
      <c r="D17" s="149"/>
      <c r="E17" s="150"/>
      <c r="F17" s="149"/>
      <c r="G17" s="151"/>
      <c r="K17" s="154"/>
      <c r="Q17" s="152"/>
    </row>
    <row r="18" spans="1:17" ht="16.5" thickBot="1">
      <c r="A18" s="147"/>
      <c r="B18" s="155" t="s">
        <v>53</v>
      </c>
      <c r="C18" s="156"/>
      <c r="D18" s="156"/>
      <c r="E18" s="157"/>
      <c r="F18" s="156"/>
      <c r="G18" s="212"/>
      <c r="H18" s="80"/>
      <c r="K18" s="158"/>
      <c r="Q18" s="159"/>
    </row>
    <row r="22" spans="1:17">
      <c r="B22" s="53" t="s">
        <v>81</v>
      </c>
      <c r="D22" s="460" t="s">
        <v>203</v>
      </c>
      <c r="E22" s="460"/>
      <c r="F22" s="460"/>
      <c r="G22" s="460"/>
    </row>
    <row r="23" spans="1:17" ht="82.5" customHeight="1">
      <c r="B23" s="53" t="s">
        <v>84</v>
      </c>
      <c r="D23" s="459" t="s">
        <v>245</v>
      </c>
      <c r="E23" s="459"/>
      <c r="F23" s="459"/>
      <c r="G23" s="459"/>
    </row>
    <row r="24" spans="1:17">
      <c r="B24" s="53"/>
      <c r="D24" s="459"/>
      <c r="E24" s="459"/>
      <c r="F24" s="459"/>
      <c r="G24" s="459"/>
    </row>
    <row r="25" spans="1:17">
      <c r="B25" s="53" t="s">
        <v>82</v>
      </c>
      <c r="D25" s="459"/>
      <c r="E25" s="459"/>
      <c r="F25" s="459"/>
      <c r="G25" s="459"/>
    </row>
    <row r="26" spans="1:17" ht="63.75">
      <c r="B26" s="53" t="s">
        <v>83</v>
      </c>
      <c r="D26" s="459"/>
      <c r="E26" s="459"/>
      <c r="F26" s="459"/>
      <c r="G26" s="459"/>
    </row>
    <row r="27" spans="1:17">
      <c r="B27" s="53"/>
      <c r="D27" s="223"/>
      <c r="E27" s="223"/>
      <c r="F27" s="223"/>
      <c r="G27" s="223"/>
    </row>
    <row r="28" spans="1:17">
      <c r="B28" s="161" t="s">
        <v>143</v>
      </c>
      <c r="D28" s="225"/>
      <c r="E28" s="225"/>
      <c r="F28" s="225"/>
      <c r="G28" s="225"/>
    </row>
    <row r="29" spans="1:17" s="132" customFormat="1" ht="76.5" customHeight="1">
      <c r="A29" s="141"/>
      <c r="B29" s="160" t="s">
        <v>165</v>
      </c>
      <c r="D29" s="223"/>
      <c r="E29" s="223"/>
      <c r="F29" s="223"/>
      <c r="G29" s="223"/>
      <c r="H29" s="136"/>
      <c r="I29" s="137"/>
      <c r="J29" s="138"/>
      <c r="K29" s="224"/>
      <c r="L29" s="160"/>
      <c r="M29" s="139"/>
      <c r="N29" s="139"/>
      <c r="O29" s="139"/>
      <c r="P29" s="136"/>
      <c r="Q29" s="135"/>
    </row>
    <row r="30" spans="1:17" s="132" customFormat="1">
      <c r="A30" s="141"/>
      <c r="B30" s="160"/>
      <c r="D30" s="223"/>
      <c r="E30" s="223"/>
      <c r="F30" s="223"/>
      <c r="G30" s="223"/>
      <c r="H30" s="136"/>
      <c r="I30" s="137"/>
      <c r="J30" s="138"/>
      <c r="K30" s="224"/>
      <c r="L30" s="160"/>
      <c r="M30" s="139"/>
      <c r="N30" s="139"/>
      <c r="O30" s="139"/>
      <c r="P30" s="136"/>
      <c r="Q30" s="135"/>
    </row>
    <row r="31" spans="1:17" s="132" customFormat="1">
      <c r="A31" s="141"/>
      <c r="B31" s="161" t="s">
        <v>169</v>
      </c>
      <c r="D31" s="223"/>
      <c r="E31" s="223"/>
      <c r="F31" s="223"/>
      <c r="G31" s="223"/>
      <c r="H31" s="136"/>
      <c r="I31" s="137"/>
      <c r="J31" s="138"/>
      <c r="K31" s="224"/>
      <c r="L31" s="160"/>
      <c r="M31" s="139"/>
      <c r="N31" s="139"/>
      <c r="O31" s="139"/>
      <c r="P31" s="136"/>
      <c r="Q31" s="135"/>
    </row>
    <row r="32" spans="1:17" s="132" customFormat="1" ht="63.75">
      <c r="A32" s="141"/>
      <c r="B32" s="224" t="s">
        <v>243</v>
      </c>
      <c r="D32" s="223"/>
      <c r="E32" s="223"/>
      <c r="F32" s="223"/>
      <c r="G32" s="223"/>
      <c r="H32" s="136"/>
      <c r="I32" s="137"/>
      <c r="J32" s="138"/>
      <c r="K32" s="224"/>
      <c r="L32" s="160"/>
      <c r="M32" s="139"/>
      <c r="N32" s="139"/>
      <c r="O32" s="139"/>
      <c r="P32" s="136"/>
      <c r="Q32" s="135"/>
    </row>
    <row r="33" spans="1:17" s="132" customFormat="1" ht="15.95" customHeight="1">
      <c r="A33" s="141"/>
      <c r="B33" s="224"/>
      <c r="C33" s="224"/>
      <c r="D33" s="224"/>
      <c r="E33" s="133"/>
      <c r="G33" s="134"/>
      <c r="H33" s="136"/>
      <c r="I33" s="137"/>
      <c r="J33" s="138"/>
      <c r="K33" s="136"/>
      <c r="L33" s="160"/>
      <c r="M33" s="139"/>
      <c r="N33" s="139"/>
      <c r="O33" s="139"/>
      <c r="P33" s="136"/>
      <c r="Q33" s="135"/>
    </row>
    <row r="35" spans="1:17" s="132" customFormat="1">
      <c r="A35" s="141"/>
      <c r="B35" s="3" t="s">
        <v>145</v>
      </c>
      <c r="E35" s="133"/>
      <c r="G35" s="134"/>
      <c r="H35" s="136"/>
      <c r="I35" s="137"/>
      <c r="J35" s="138"/>
      <c r="K35" s="136"/>
      <c r="L35" s="136"/>
      <c r="M35" s="139"/>
      <c r="N35" s="139"/>
      <c r="O35" s="139"/>
      <c r="P35" s="136"/>
      <c r="Q35" s="135"/>
    </row>
    <row r="36" spans="1:17">
      <c r="B36" s="53"/>
    </row>
    <row r="37" spans="1:17">
      <c r="A37" s="11" t="s">
        <v>19</v>
      </c>
      <c r="B37" s="9" t="s">
        <v>16</v>
      </c>
      <c r="C37" s="46"/>
      <c r="D37" s="7"/>
      <c r="E37" s="109"/>
      <c r="F37" s="7"/>
      <c r="G37" s="99"/>
      <c r="H37" s="7"/>
      <c r="Q37" s="91"/>
    </row>
    <row r="38" spans="1:17" s="7" customFormat="1">
      <c r="A38" s="141"/>
      <c r="B38" s="162"/>
      <c r="C38" s="163"/>
      <c r="D38" s="163"/>
      <c r="E38" s="164"/>
      <c r="F38" s="163"/>
      <c r="G38" s="165"/>
      <c r="H38" s="136"/>
      <c r="I38" s="26"/>
      <c r="J38" s="22"/>
      <c r="M38" s="30"/>
      <c r="N38" s="30"/>
      <c r="O38" s="30"/>
      <c r="Q38" s="166"/>
    </row>
    <row r="39" spans="1:17" s="7" customFormat="1">
      <c r="A39" s="11" t="s">
        <v>27</v>
      </c>
      <c r="B39" s="9" t="s">
        <v>26</v>
      </c>
      <c r="C39" s="46"/>
      <c r="E39" s="109"/>
      <c r="G39" s="99"/>
      <c r="I39" s="26"/>
      <c r="J39" s="22"/>
      <c r="M39" s="30"/>
      <c r="N39" s="30"/>
      <c r="O39" s="30"/>
      <c r="Q39" s="91"/>
    </row>
    <row r="40" spans="1:17" s="7" customFormat="1">
      <c r="A40" s="8"/>
      <c r="B40" s="9"/>
      <c r="C40" s="202" t="s">
        <v>170</v>
      </c>
      <c r="D40" s="205"/>
      <c r="E40" s="206" t="s">
        <v>171</v>
      </c>
      <c r="F40" s="203"/>
      <c r="G40" s="204" t="s">
        <v>164</v>
      </c>
      <c r="I40" s="26"/>
      <c r="J40" s="22"/>
      <c r="M40" s="30"/>
      <c r="N40" s="30"/>
      <c r="O40" s="30"/>
      <c r="Q40" s="91"/>
    </row>
    <row r="41" spans="1:17" s="17" customFormat="1" ht="51.75">
      <c r="A41" s="12" t="s">
        <v>28</v>
      </c>
      <c r="B41" s="13" t="s">
        <v>146</v>
      </c>
      <c r="C41" s="46"/>
      <c r="D41" s="7"/>
      <c r="E41" s="109"/>
      <c r="F41" s="7"/>
      <c r="G41" s="99"/>
      <c r="H41" s="7"/>
      <c r="I41" s="27"/>
      <c r="J41" s="23"/>
      <c r="M41" s="31"/>
      <c r="N41" s="31"/>
      <c r="O41" s="31"/>
      <c r="Q41" s="91"/>
    </row>
    <row r="42" spans="1:17" s="7" customFormat="1">
      <c r="A42" s="18"/>
      <c r="B42" s="13"/>
      <c r="C42" s="57"/>
      <c r="D42" s="17"/>
      <c r="E42" s="113"/>
      <c r="F42" s="17"/>
      <c r="G42" s="102"/>
      <c r="H42" s="17"/>
      <c r="I42" s="26"/>
      <c r="J42" s="22"/>
      <c r="M42" s="30"/>
      <c r="N42" s="30"/>
      <c r="O42" s="30"/>
      <c r="Q42" s="92"/>
    </row>
    <row r="43" spans="1:17" s="7" customFormat="1">
      <c r="A43" s="8"/>
      <c r="B43" s="167" t="s">
        <v>22</v>
      </c>
      <c r="C43" s="219">
        <v>161.5</v>
      </c>
      <c r="D43" s="132"/>
      <c r="E43" s="244"/>
      <c r="F43" s="168"/>
      <c r="G43" s="220"/>
      <c r="H43" s="168"/>
      <c r="I43" s="26"/>
      <c r="J43" s="22"/>
      <c r="M43" s="30"/>
      <c r="N43" s="30"/>
      <c r="O43" s="30"/>
      <c r="Q43" s="135"/>
    </row>
    <row r="44" spans="1:17" s="7" customFormat="1">
      <c r="A44" s="8"/>
      <c r="B44" s="14"/>
      <c r="C44" s="46"/>
      <c r="E44" s="245"/>
      <c r="G44" s="99"/>
      <c r="I44" s="26"/>
      <c r="J44" s="22"/>
      <c r="M44" s="30"/>
      <c r="N44" s="30"/>
      <c r="O44" s="30"/>
      <c r="Q44" s="91"/>
    </row>
    <row r="45" spans="1:17" s="19" customFormat="1" ht="51">
      <c r="A45" s="12" t="s">
        <v>30</v>
      </c>
      <c r="B45" s="167" t="s">
        <v>147</v>
      </c>
      <c r="C45" s="46"/>
      <c r="D45" s="7"/>
      <c r="E45" s="245"/>
      <c r="F45" s="7"/>
      <c r="G45" s="99"/>
      <c r="H45" s="7"/>
      <c r="I45" s="28"/>
      <c r="J45" s="24"/>
      <c r="M45" s="32"/>
      <c r="N45" s="32"/>
      <c r="O45" s="32"/>
      <c r="Q45" s="91"/>
    </row>
    <row r="46" spans="1:17" s="7" customFormat="1">
      <c r="A46" s="20"/>
      <c r="B46" s="167"/>
      <c r="C46" s="58"/>
      <c r="D46" s="19"/>
      <c r="E46" s="245"/>
      <c r="F46" s="19"/>
      <c r="G46" s="103"/>
      <c r="H46" s="19"/>
      <c r="I46" s="26"/>
      <c r="J46" s="22"/>
      <c r="M46" s="30"/>
      <c r="N46" s="30"/>
      <c r="O46" s="30"/>
      <c r="Q46" s="93"/>
    </row>
    <row r="47" spans="1:17" s="7" customFormat="1">
      <c r="A47" s="8"/>
      <c r="B47" s="167" t="s">
        <v>55</v>
      </c>
      <c r="C47" s="219">
        <v>1</v>
      </c>
      <c r="D47" s="132"/>
      <c r="E47" s="246"/>
      <c r="F47" s="168"/>
      <c r="G47" s="220"/>
      <c r="H47" s="168"/>
      <c r="I47" s="26"/>
      <c r="J47" s="22"/>
      <c r="M47" s="30"/>
      <c r="N47" s="30"/>
      <c r="O47" s="30"/>
      <c r="Q47" s="135"/>
    </row>
    <row r="48" spans="1:17" s="7" customFormat="1">
      <c r="A48" s="8"/>
      <c r="B48" s="167"/>
      <c r="C48" s="132"/>
      <c r="D48" s="132"/>
      <c r="E48" s="245"/>
      <c r="F48" s="132"/>
      <c r="G48" s="134"/>
      <c r="H48" s="132"/>
      <c r="I48" s="26"/>
      <c r="J48" s="22"/>
      <c r="M48" s="30"/>
      <c r="N48" s="30"/>
      <c r="O48" s="30"/>
      <c r="Q48" s="135"/>
    </row>
    <row r="49" spans="1:17" s="19" customFormat="1" ht="51">
      <c r="A49" s="12" t="s">
        <v>31</v>
      </c>
      <c r="B49" s="167" t="s">
        <v>66</v>
      </c>
      <c r="C49" s="46"/>
      <c r="D49" s="7"/>
      <c r="E49" s="237"/>
      <c r="F49" s="7"/>
      <c r="G49" s="99"/>
      <c r="H49" s="7"/>
      <c r="I49" s="28"/>
      <c r="J49" s="24"/>
      <c r="M49" s="32"/>
      <c r="N49" s="32"/>
      <c r="O49" s="32"/>
      <c r="Q49" s="91"/>
    </row>
    <row r="50" spans="1:17" s="7" customFormat="1">
      <c r="A50" s="20"/>
      <c r="B50" s="167"/>
      <c r="C50" s="58"/>
      <c r="D50" s="19"/>
      <c r="E50" s="250"/>
      <c r="F50" s="19"/>
      <c r="G50" s="103"/>
      <c r="H50" s="19"/>
      <c r="I50" s="26"/>
      <c r="J50" s="22"/>
      <c r="M50" s="30"/>
      <c r="N50" s="30"/>
      <c r="O50" s="30"/>
      <c r="Q50" s="93"/>
    </row>
    <row r="51" spans="1:17" s="7" customFormat="1">
      <c r="A51" s="8"/>
      <c r="B51" s="167" t="s">
        <v>23</v>
      </c>
      <c r="C51" s="219">
        <v>5</v>
      </c>
      <c r="D51" s="132"/>
      <c r="E51" s="246"/>
      <c r="F51" s="168"/>
      <c r="G51" s="220"/>
      <c r="H51" s="168"/>
      <c r="I51" s="26"/>
      <c r="J51" s="22"/>
      <c r="M51" s="30"/>
      <c r="N51" s="30"/>
      <c r="O51" s="30"/>
      <c r="Q51" s="135"/>
    </row>
    <row r="52" spans="1:17" s="7" customFormat="1">
      <c r="A52" s="8"/>
      <c r="B52" s="167"/>
      <c r="C52" s="132"/>
      <c r="D52" s="132"/>
      <c r="E52" s="245"/>
      <c r="F52" s="132"/>
      <c r="G52" s="134"/>
      <c r="H52" s="132"/>
      <c r="I52" s="26"/>
      <c r="J52" s="22"/>
      <c r="M52" s="30"/>
      <c r="N52" s="30"/>
      <c r="O52" s="30"/>
      <c r="Q52" s="135"/>
    </row>
    <row r="53" spans="1:17" s="19" customFormat="1" ht="51">
      <c r="A53" s="12" t="s">
        <v>56</v>
      </c>
      <c r="B53" s="167" t="s">
        <v>68</v>
      </c>
      <c r="C53" s="132"/>
      <c r="D53" s="132"/>
      <c r="E53" s="245"/>
      <c r="F53" s="132"/>
      <c r="G53" s="134"/>
      <c r="H53" s="7"/>
      <c r="I53" s="28"/>
      <c r="J53" s="24"/>
      <c r="M53" s="32"/>
      <c r="N53" s="32"/>
      <c r="O53" s="32"/>
      <c r="Q53" s="135"/>
    </row>
    <row r="54" spans="1:17" s="7" customFormat="1">
      <c r="A54" s="20"/>
      <c r="B54" s="167"/>
      <c r="C54" s="169"/>
      <c r="D54" s="169"/>
      <c r="E54" s="245"/>
      <c r="F54" s="169"/>
      <c r="G54" s="170"/>
      <c r="H54" s="19"/>
      <c r="I54" s="26"/>
      <c r="J54" s="22"/>
      <c r="M54" s="30"/>
      <c r="N54" s="30"/>
      <c r="O54" s="30"/>
      <c r="Q54" s="171"/>
    </row>
    <row r="55" spans="1:17" s="7" customFormat="1">
      <c r="A55" s="8"/>
      <c r="B55" s="167" t="s">
        <v>23</v>
      </c>
      <c r="C55" s="219">
        <f>INT(C43/20)+1</f>
        <v>9</v>
      </c>
      <c r="D55" s="132"/>
      <c r="E55" s="246"/>
      <c r="F55" s="168"/>
      <c r="G55" s="220"/>
      <c r="H55" s="168"/>
      <c r="I55" s="26"/>
      <c r="J55" s="22"/>
      <c r="M55" s="30"/>
      <c r="N55" s="30"/>
      <c r="O55" s="30"/>
      <c r="Q55" s="135"/>
    </row>
    <row r="56" spans="1:17" s="7" customFormat="1">
      <c r="A56" s="8"/>
      <c r="B56" s="167"/>
      <c r="C56" s="132"/>
      <c r="D56" s="132"/>
      <c r="E56" s="245"/>
      <c r="F56" s="132"/>
      <c r="G56" s="134"/>
      <c r="H56" s="132"/>
      <c r="I56" s="26"/>
      <c r="J56" s="22"/>
      <c r="M56" s="30"/>
      <c r="N56" s="30"/>
      <c r="O56" s="30"/>
      <c r="Q56" s="135"/>
    </row>
    <row r="57" spans="1:17" s="7" customFormat="1" ht="38.25">
      <c r="A57" s="12" t="s">
        <v>5</v>
      </c>
      <c r="B57" s="167" t="s">
        <v>6</v>
      </c>
      <c r="C57" s="132"/>
      <c r="D57" s="132"/>
      <c r="E57" s="245"/>
      <c r="F57" s="132"/>
      <c r="G57" s="134"/>
      <c r="I57" s="26"/>
      <c r="J57" s="22"/>
      <c r="M57" s="30"/>
      <c r="N57" s="30"/>
      <c r="O57" s="30"/>
      <c r="Q57" s="135"/>
    </row>
    <row r="58" spans="1:17" s="7" customFormat="1">
      <c r="A58" s="20"/>
      <c r="B58" s="167"/>
      <c r="C58" s="169"/>
      <c r="D58" s="169"/>
      <c r="E58" s="247"/>
      <c r="F58" s="169"/>
      <c r="G58" s="170"/>
      <c r="H58" s="19"/>
      <c r="I58" s="26"/>
      <c r="J58" s="22"/>
      <c r="M58" s="30"/>
      <c r="N58" s="30"/>
      <c r="O58" s="30"/>
      <c r="Q58" s="171"/>
    </row>
    <row r="59" spans="1:17" s="7" customFormat="1">
      <c r="A59" s="8"/>
      <c r="B59" s="167" t="s">
        <v>29</v>
      </c>
      <c r="C59" s="219">
        <v>1</v>
      </c>
      <c r="D59" s="132"/>
      <c r="E59" s="246"/>
      <c r="F59" s="168"/>
      <c r="G59" s="220"/>
      <c r="H59" s="168"/>
      <c r="I59" s="26"/>
      <c r="J59" s="22"/>
      <c r="M59" s="30"/>
      <c r="N59" s="30"/>
      <c r="O59" s="30"/>
      <c r="Q59" s="135"/>
    </row>
    <row r="60" spans="1:17" s="7" customFormat="1">
      <c r="A60" s="8"/>
      <c r="B60" s="167"/>
      <c r="C60" s="132"/>
      <c r="D60" s="132"/>
      <c r="E60" s="245"/>
      <c r="F60" s="132"/>
      <c r="G60" s="134"/>
      <c r="H60" s="132"/>
      <c r="I60" s="26"/>
      <c r="J60" s="22"/>
      <c r="M60" s="30"/>
      <c r="N60" s="30"/>
      <c r="O60" s="30"/>
      <c r="Q60" s="135"/>
    </row>
    <row r="61" spans="1:17" s="19" customFormat="1" ht="25.5">
      <c r="A61" s="12" t="s">
        <v>75</v>
      </c>
      <c r="B61" s="167" t="s">
        <v>148</v>
      </c>
      <c r="C61" s="132"/>
      <c r="D61" s="132"/>
      <c r="E61" s="245"/>
      <c r="F61" s="132"/>
      <c r="G61" s="134"/>
      <c r="H61" s="7"/>
      <c r="I61" s="28"/>
      <c r="J61" s="24"/>
      <c r="M61" s="32"/>
      <c r="N61" s="32"/>
      <c r="O61" s="32"/>
      <c r="Q61" s="135"/>
    </row>
    <row r="62" spans="1:17" s="7" customFormat="1">
      <c r="A62" s="20"/>
      <c r="B62" s="167"/>
      <c r="C62" s="169"/>
      <c r="D62" s="169"/>
      <c r="E62" s="247"/>
      <c r="F62" s="169"/>
      <c r="G62" s="170"/>
      <c r="H62" s="19"/>
      <c r="I62" s="26"/>
      <c r="J62" s="22"/>
      <c r="M62" s="30"/>
      <c r="N62" s="30"/>
      <c r="O62" s="30"/>
      <c r="Q62" s="171"/>
    </row>
    <row r="63" spans="1:17" s="7" customFormat="1">
      <c r="A63" s="8"/>
      <c r="B63" s="167" t="s">
        <v>23</v>
      </c>
      <c r="C63" s="219">
        <v>1</v>
      </c>
      <c r="D63" s="132"/>
      <c r="E63" s="246"/>
      <c r="F63" s="168"/>
      <c r="G63" s="220"/>
      <c r="H63" s="168"/>
      <c r="I63" s="26"/>
      <c r="J63" s="22"/>
      <c r="M63" s="30"/>
      <c r="N63" s="30"/>
      <c r="O63" s="30"/>
      <c r="Q63" s="135"/>
    </row>
    <row r="64" spans="1:17" s="7" customFormat="1">
      <c r="A64" s="8"/>
      <c r="B64" s="167"/>
      <c r="C64" s="132"/>
      <c r="D64" s="132"/>
      <c r="E64" s="245"/>
      <c r="F64" s="132"/>
      <c r="G64" s="134"/>
      <c r="H64" s="132"/>
      <c r="I64" s="26"/>
      <c r="J64" s="22"/>
      <c r="M64" s="30"/>
      <c r="N64" s="30"/>
      <c r="O64" s="30"/>
      <c r="Q64" s="135"/>
    </row>
    <row r="65" spans="1:17" s="7" customFormat="1" ht="56.25" customHeight="1">
      <c r="A65" s="12" t="s">
        <v>54</v>
      </c>
      <c r="B65" s="167" t="s">
        <v>234</v>
      </c>
      <c r="C65" s="132"/>
      <c r="D65" s="132"/>
      <c r="E65" s="245"/>
      <c r="F65" s="132"/>
      <c r="G65" s="134"/>
      <c r="I65" s="26"/>
      <c r="J65" s="22"/>
      <c r="M65" s="30"/>
      <c r="N65" s="30"/>
      <c r="O65" s="30"/>
      <c r="Q65" s="135"/>
    </row>
    <row r="66" spans="1:17" s="7" customFormat="1" ht="38.25">
      <c r="A66" s="8"/>
      <c r="B66" s="52" t="s">
        <v>116</v>
      </c>
      <c r="C66" s="214">
        <v>1</v>
      </c>
      <c r="D66" s="41"/>
      <c r="E66" s="232"/>
      <c r="F66" s="81"/>
      <c r="G66" s="213"/>
      <c r="H66" s="81"/>
      <c r="I66" s="26"/>
      <c r="J66" s="22"/>
      <c r="M66" s="30"/>
      <c r="N66" s="30"/>
      <c r="O66" s="30"/>
      <c r="Q66" s="82"/>
    </row>
    <row r="67" spans="1:17" s="7" customFormat="1" ht="15.95" customHeight="1">
      <c r="A67" s="8"/>
      <c r="B67" s="167"/>
      <c r="C67" s="202" t="s">
        <v>170</v>
      </c>
      <c r="D67" s="205"/>
      <c r="E67" s="251" t="s">
        <v>171</v>
      </c>
      <c r="F67" s="203"/>
      <c r="G67" s="204" t="s">
        <v>164</v>
      </c>
      <c r="I67" s="26"/>
      <c r="J67" s="22"/>
      <c r="M67" s="30"/>
      <c r="N67" s="30"/>
      <c r="O67" s="30"/>
      <c r="Q67" s="135"/>
    </row>
    <row r="68" spans="1:17" s="7" customFormat="1" ht="15.95" customHeight="1">
      <c r="A68" s="12" t="s">
        <v>61</v>
      </c>
      <c r="B68" s="167" t="s">
        <v>62</v>
      </c>
      <c r="C68" s="132"/>
      <c r="D68" s="132"/>
      <c r="E68" s="245"/>
      <c r="F68" s="132"/>
      <c r="G68" s="134"/>
      <c r="I68" s="26"/>
      <c r="J68" s="22"/>
      <c r="M68" s="30"/>
      <c r="N68" s="30"/>
      <c r="O68" s="30"/>
      <c r="Q68" s="135"/>
    </row>
    <row r="69" spans="1:17" s="7" customFormat="1" ht="15.95" customHeight="1">
      <c r="A69" s="20"/>
      <c r="B69" s="167"/>
      <c r="C69" s="169"/>
      <c r="D69" s="169"/>
      <c r="E69" s="247"/>
      <c r="F69" s="169"/>
      <c r="G69" s="170"/>
      <c r="H69" s="19"/>
      <c r="I69" s="26"/>
      <c r="J69" s="22"/>
      <c r="M69" s="30"/>
      <c r="N69" s="30"/>
      <c r="O69" s="30"/>
      <c r="Q69" s="171"/>
    </row>
    <row r="70" spans="1:17" s="7" customFormat="1" ht="15.95" customHeight="1">
      <c r="A70" s="8"/>
      <c r="B70" s="167" t="s">
        <v>41</v>
      </c>
      <c r="C70" s="219">
        <v>2</v>
      </c>
      <c r="D70" s="132"/>
      <c r="E70" s="246"/>
      <c r="F70" s="168"/>
      <c r="G70" s="220"/>
      <c r="H70" s="168"/>
      <c r="I70" s="26"/>
      <c r="J70" s="22"/>
      <c r="M70" s="30"/>
      <c r="N70" s="30"/>
      <c r="O70" s="30"/>
      <c r="Q70" s="135"/>
    </row>
    <row r="71" spans="1:17" s="7" customFormat="1" ht="15.95" customHeight="1">
      <c r="A71" s="8"/>
      <c r="B71" s="167"/>
      <c r="C71" s="132"/>
      <c r="D71" s="132"/>
      <c r="E71" s="245"/>
      <c r="F71" s="132"/>
      <c r="G71" s="134"/>
      <c r="H71" s="132"/>
      <c r="I71" s="26"/>
      <c r="J71" s="22"/>
      <c r="M71" s="30"/>
      <c r="N71" s="30"/>
      <c r="O71" s="30"/>
      <c r="Q71" s="135"/>
    </row>
    <row r="72" spans="1:17" s="7" customFormat="1" ht="27.75" customHeight="1">
      <c r="A72" s="12" t="s">
        <v>73</v>
      </c>
      <c r="B72" s="167" t="s">
        <v>149</v>
      </c>
      <c r="C72" s="132"/>
      <c r="D72" s="132"/>
      <c r="E72" s="245"/>
      <c r="F72" s="132"/>
      <c r="G72" s="134"/>
      <c r="I72" s="26"/>
      <c r="J72" s="22"/>
      <c r="M72" s="30"/>
      <c r="N72" s="30"/>
      <c r="O72" s="30"/>
      <c r="Q72" s="135"/>
    </row>
    <row r="73" spans="1:17" s="7" customFormat="1" ht="15.95" customHeight="1">
      <c r="A73" s="20"/>
      <c r="B73" s="167"/>
      <c r="C73" s="169"/>
      <c r="D73" s="169"/>
      <c r="E73" s="247"/>
      <c r="F73" s="169"/>
      <c r="G73" s="170"/>
      <c r="H73" s="19"/>
      <c r="I73" s="26"/>
      <c r="J73" s="22"/>
      <c r="M73" s="30"/>
      <c r="N73" s="30"/>
      <c r="O73" s="30"/>
      <c r="Q73" s="171"/>
    </row>
    <row r="74" spans="1:17" s="7" customFormat="1" ht="15.95" customHeight="1">
      <c r="A74" s="8"/>
      <c r="B74" s="167" t="s">
        <v>23</v>
      </c>
      <c r="C74" s="219">
        <v>1</v>
      </c>
      <c r="D74" s="132"/>
      <c r="E74" s="246"/>
      <c r="F74" s="168"/>
      <c r="G74" s="220"/>
      <c r="H74" s="168"/>
      <c r="I74" s="26"/>
      <c r="J74" s="22"/>
      <c r="M74" s="30"/>
      <c r="N74" s="30"/>
      <c r="O74" s="30"/>
      <c r="Q74" s="135"/>
    </row>
    <row r="75" spans="1:17" s="7" customFormat="1" ht="15.95" customHeight="1">
      <c r="A75" s="8"/>
      <c r="B75" s="167"/>
      <c r="E75" s="241"/>
      <c r="H75" s="132"/>
      <c r="I75" s="26"/>
      <c r="J75" s="22"/>
      <c r="M75" s="30"/>
      <c r="N75" s="30"/>
      <c r="O75" s="30"/>
      <c r="Q75" s="135"/>
    </row>
    <row r="76" spans="1:17" s="7" customFormat="1" ht="15.95" customHeight="1">
      <c r="A76" s="12" t="s">
        <v>74</v>
      </c>
      <c r="B76" s="167" t="s">
        <v>150</v>
      </c>
      <c r="C76" s="132"/>
      <c r="D76" s="132"/>
      <c r="E76" s="245"/>
      <c r="F76" s="132"/>
      <c r="G76" s="134"/>
      <c r="I76" s="26"/>
      <c r="J76" s="22"/>
      <c r="M76" s="30"/>
      <c r="N76" s="30"/>
      <c r="O76" s="30"/>
      <c r="Q76" s="135"/>
    </row>
    <row r="77" spans="1:17" s="7" customFormat="1" ht="15.95" customHeight="1">
      <c r="A77" s="20"/>
      <c r="B77" s="167"/>
      <c r="C77" s="169"/>
      <c r="D77" s="169"/>
      <c r="E77" s="247"/>
      <c r="F77" s="169"/>
      <c r="G77" s="170"/>
      <c r="H77" s="19"/>
      <c r="I77" s="26"/>
      <c r="J77" s="22"/>
      <c r="M77" s="30"/>
      <c r="N77" s="30"/>
      <c r="O77" s="30"/>
      <c r="Q77" s="171"/>
    </row>
    <row r="78" spans="1:17" s="7" customFormat="1" ht="15.95" customHeight="1">
      <c r="A78" s="8"/>
      <c r="B78" s="167" t="s">
        <v>23</v>
      </c>
      <c r="C78" s="219">
        <v>1</v>
      </c>
      <c r="D78" s="132"/>
      <c r="E78" s="246"/>
      <c r="F78" s="168"/>
      <c r="G78" s="220"/>
      <c r="H78" s="168"/>
      <c r="I78" s="26"/>
      <c r="J78" s="22"/>
      <c r="M78" s="30"/>
      <c r="N78" s="30"/>
      <c r="O78" s="30"/>
      <c r="Q78" s="135"/>
    </row>
    <row r="79" spans="1:17" s="7" customFormat="1" ht="15.95" customHeight="1">
      <c r="A79" s="8"/>
      <c r="B79" s="167"/>
      <c r="C79" s="132"/>
      <c r="D79" s="132"/>
      <c r="E79" s="245"/>
      <c r="F79" s="132"/>
      <c r="G79" s="134"/>
      <c r="I79" s="26"/>
      <c r="J79" s="22"/>
      <c r="M79" s="30"/>
      <c r="N79" s="30"/>
      <c r="O79" s="30"/>
      <c r="Q79" s="135"/>
    </row>
    <row r="80" spans="1:17" s="7" customFormat="1" ht="31.5">
      <c r="A80" s="11"/>
      <c r="B80" s="174" t="s">
        <v>43</v>
      </c>
      <c r="C80" s="149"/>
      <c r="D80" s="149"/>
      <c r="E80" s="248"/>
      <c r="F80" s="149"/>
      <c r="G80" s="211"/>
      <c r="H80" s="149"/>
      <c r="I80" s="118"/>
      <c r="J80" s="22"/>
      <c r="M80" s="30"/>
      <c r="N80" s="30"/>
      <c r="O80" s="30"/>
      <c r="Q80" s="152"/>
    </row>
    <row r="81" spans="1:17" s="7" customFormat="1">
      <c r="A81" s="11"/>
      <c r="B81" s="174"/>
      <c r="C81" s="149"/>
      <c r="D81" s="149"/>
      <c r="E81" s="248"/>
      <c r="F81" s="149"/>
      <c r="G81" s="151"/>
      <c r="H81" s="149"/>
      <c r="I81" s="26"/>
      <c r="J81" s="22"/>
      <c r="M81" s="30"/>
      <c r="N81" s="30"/>
      <c r="O81" s="30"/>
      <c r="Q81" s="152"/>
    </row>
    <row r="82" spans="1:17" s="7" customFormat="1">
      <c r="A82" s="11" t="s">
        <v>32</v>
      </c>
      <c r="B82" s="9" t="s">
        <v>17</v>
      </c>
      <c r="C82" s="46"/>
      <c r="E82" s="237"/>
      <c r="G82" s="99"/>
      <c r="I82" s="26"/>
      <c r="J82" s="22"/>
      <c r="M82" s="30"/>
      <c r="N82" s="30"/>
      <c r="O82" s="30"/>
      <c r="Q82" s="91"/>
    </row>
    <row r="83" spans="1:17" s="7" customFormat="1">
      <c r="A83" s="11"/>
      <c r="B83" s="9"/>
      <c r="C83" s="46"/>
      <c r="E83" s="237"/>
      <c r="G83" s="99"/>
      <c r="I83" s="26"/>
      <c r="J83" s="22"/>
      <c r="M83" s="30"/>
      <c r="N83" s="30"/>
      <c r="O83" s="30"/>
      <c r="Q83" s="91"/>
    </row>
    <row r="84" spans="1:17" s="178" customFormat="1" ht="25.5">
      <c r="A84" s="12" t="s">
        <v>33</v>
      </c>
      <c r="B84" s="167" t="s">
        <v>151</v>
      </c>
      <c r="C84" s="132"/>
      <c r="D84" s="132"/>
      <c r="E84" s="245"/>
      <c r="F84" s="132"/>
      <c r="G84" s="134"/>
      <c r="H84" s="175"/>
      <c r="I84" s="176"/>
      <c r="J84" s="177"/>
      <c r="M84" s="179"/>
      <c r="N84" s="179"/>
      <c r="O84" s="179"/>
      <c r="Q84" s="135"/>
    </row>
    <row r="85" spans="1:17">
      <c r="A85" s="18"/>
      <c r="B85" s="167"/>
      <c r="C85" s="169"/>
      <c r="D85" s="169"/>
      <c r="E85" s="247"/>
      <c r="F85" s="169"/>
      <c r="G85" s="170"/>
      <c r="H85" s="178"/>
      <c r="Q85" s="171"/>
    </row>
    <row r="86" spans="1:17">
      <c r="B86" s="167" t="s">
        <v>20</v>
      </c>
      <c r="C86" s="219">
        <v>0.85</v>
      </c>
      <c r="E86" s="244"/>
      <c r="F86" s="168"/>
      <c r="G86" s="220"/>
      <c r="H86" s="168"/>
    </row>
    <row r="87" spans="1:17">
      <c r="B87" s="167"/>
      <c r="E87" s="245"/>
      <c r="H87" s="175"/>
    </row>
    <row r="88" spans="1:17" ht="51">
      <c r="A88" s="141" t="s">
        <v>34</v>
      </c>
      <c r="B88" s="167" t="s">
        <v>152</v>
      </c>
      <c r="E88" s="245"/>
      <c r="H88" s="175"/>
    </row>
    <row r="89" spans="1:17">
      <c r="B89" s="167"/>
      <c r="E89" s="245"/>
      <c r="H89" s="175"/>
    </row>
    <row r="90" spans="1:17">
      <c r="B90" s="167" t="s">
        <v>25</v>
      </c>
      <c r="C90" s="132">
        <f>11.43/0.09</f>
        <v>127</v>
      </c>
      <c r="E90" s="246"/>
      <c r="F90" s="168"/>
      <c r="G90" s="220"/>
      <c r="H90" s="168"/>
    </row>
    <row r="91" spans="1:17">
      <c r="B91" s="167"/>
      <c r="E91" s="245"/>
      <c r="H91" s="175"/>
    </row>
    <row r="92" spans="1:17" ht="51">
      <c r="A92" s="141" t="s">
        <v>35</v>
      </c>
      <c r="B92" s="167" t="s">
        <v>153</v>
      </c>
      <c r="E92" s="245"/>
      <c r="H92" s="175"/>
    </row>
    <row r="93" spans="1:17">
      <c r="B93" s="167"/>
      <c r="E93" s="245"/>
      <c r="H93" s="175"/>
    </row>
    <row r="94" spans="1:17">
      <c r="B94" s="167" t="s">
        <v>20</v>
      </c>
      <c r="C94" s="219">
        <f>C51*0.8</f>
        <v>4</v>
      </c>
      <c r="E94" s="246"/>
      <c r="F94" s="168"/>
      <c r="G94" s="220"/>
      <c r="H94" s="168"/>
      <c r="J94" s="137"/>
    </row>
    <row r="95" spans="1:17">
      <c r="B95" s="167"/>
      <c r="E95" s="245"/>
      <c r="H95" s="175"/>
    </row>
    <row r="96" spans="1:17" ht="25.5">
      <c r="A96" s="141" t="s">
        <v>36</v>
      </c>
      <c r="B96" s="167" t="s">
        <v>154</v>
      </c>
      <c r="E96" s="245"/>
      <c r="H96" s="175"/>
    </row>
    <row r="97" spans="1:17">
      <c r="B97" s="167"/>
      <c r="E97" s="245"/>
      <c r="H97" s="175"/>
    </row>
    <row r="98" spans="1:17" ht="25.5">
      <c r="B98" s="167" t="s">
        <v>141</v>
      </c>
      <c r="E98" s="245"/>
      <c r="H98" s="175"/>
    </row>
    <row r="99" spans="1:17">
      <c r="B99" s="167" t="s">
        <v>20</v>
      </c>
      <c r="C99" s="219">
        <f>223.15*0.8</f>
        <v>178.52</v>
      </c>
      <c r="E99" s="244"/>
      <c r="F99" s="168"/>
      <c r="G99" s="220"/>
      <c r="H99" s="168"/>
    </row>
    <row r="100" spans="1:17">
      <c r="B100" s="167"/>
      <c r="E100" s="245"/>
      <c r="H100" s="132"/>
      <c r="J100" s="137"/>
    </row>
    <row r="101" spans="1:17">
      <c r="B101" s="167" t="s">
        <v>142</v>
      </c>
      <c r="E101" s="245"/>
      <c r="H101" s="175"/>
    </row>
    <row r="102" spans="1:17">
      <c r="B102" s="167" t="s">
        <v>20</v>
      </c>
      <c r="C102" s="219">
        <f>223.15*0.2</f>
        <v>44.63</v>
      </c>
      <c r="E102" s="246"/>
      <c r="F102" s="168"/>
      <c r="G102" s="220"/>
      <c r="H102" s="168"/>
    </row>
    <row r="103" spans="1:17">
      <c r="B103" s="167"/>
      <c r="C103" s="202" t="s">
        <v>170</v>
      </c>
      <c r="D103" s="205"/>
      <c r="E103" s="251" t="s">
        <v>171</v>
      </c>
      <c r="F103" s="203"/>
      <c r="G103" s="204" t="s">
        <v>164</v>
      </c>
      <c r="H103" s="175"/>
    </row>
    <row r="104" spans="1:17" ht="38.25">
      <c r="A104" s="141" t="s">
        <v>37</v>
      </c>
      <c r="B104" s="167" t="s">
        <v>155</v>
      </c>
      <c r="E104" s="245"/>
      <c r="H104" s="175"/>
    </row>
    <row r="105" spans="1:17">
      <c r="B105" s="167"/>
      <c r="E105" s="245"/>
      <c r="H105" s="175"/>
      <c r="K105" s="153"/>
    </row>
    <row r="106" spans="1:17" ht="25.5">
      <c r="B106" s="167" t="s">
        <v>141</v>
      </c>
      <c r="E106" s="245"/>
      <c r="H106" s="175"/>
    </row>
    <row r="107" spans="1:17">
      <c r="B107" s="167" t="s">
        <v>20</v>
      </c>
      <c r="C107" s="132">
        <f>1.31*0.8</f>
        <v>1.048</v>
      </c>
      <c r="E107" s="244"/>
      <c r="F107" s="168"/>
      <c r="G107" s="220"/>
      <c r="H107" s="168"/>
    </row>
    <row r="108" spans="1:17">
      <c r="B108" s="167"/>
      <c r="C108" s="173"/>
      <c r="E108" s="245"/>
      <c r="H108" s="132"/>
      <c r="J108" s="137"/>
    </row>
    <row r="109" spans="1:17">
      <c r="B109" s="167" t="s">
        <v>142</v>
      </c>
      <c r="E109" s="245"/>
      <c r="H109" s="175"/>
    </row>
    <row r="110" spans="1:17">
      <c r="B110" s="167" t="s">
        <v>20</v>
      </c>
      <c r="C110" s="132">
        <f>1.31*0.2</f>
        <v>0.26200000000000001</v>
      </c>
      <c r="E110" s="244"/>
      <c r="F110" s="168"/>
      <c r="G110" s="220"/>
      <c r="H110" s="168"/>
    </row>
    <row r="111" spans="1:17" s="183" customFormat="1">
      <c r="A111" s="184"/>
      <c r="B111" s="185"/>
      <c r="C111" s="180"/>
      <c r="D111" s="180"/>
      <c r="E111" s="245"/>
      <c r="F111" s="180"/>
      <c r="G111" s="134"/>
      <c r="H111" s="181"/>
      <c r="Q111" s="182"/>
    </row>
    <row r="112" spans="1:17" s="178" customFormat="1" ht="38.25">
      <c r="A112" s="141" t="s">
        <v>45</v>
      </c>
      <c r="B112" s="167" t="s">
        <v>38</v>
      </c>
      <c r="C112" s="132"/>
      <c r="D112" s="132"/>
      <c r="E112" s="245"/>
      <c r="F112" s="132"/>
      <c r="G112" s="134"/>
      <c r="H112" s="175"/>
      <c r="I112" s="176"/>
      <c r="J112" s="177"/>
      <c r="M112" s="179"/>
      <c r="N112" s="179"/>
      <c r="O112" s="179"/>
      <c r="Q112" s="135"/>
    </row>
    <row r="113" spans="1:17">
      <c r="B113" s="167"/>
      <c r="C113" s="169"/>
      <c r="D113" s="169"/>
      <c r="E113" s="245"/>
      <c r="F113" s="169"/>
      <c r="G113" s="170"/>
      <c r="H113" s="178"/>
      <c r="Q113" s="171"/>
    </row>
    <row r="114" spans="1:17">
      <c r="B114" s="167" t="s">
        <v>25</v>
      </c>
      <c r="C114" s="219">
        <f>C43*0.65</f>
        <v>104.97500000000001</v>
      </c>
      <c r="E114" s="246"/>
      <c r="G114" s="220"/>
      <c r="H114" s="132"/>
    </row>
    <row r="115" spans="1:17">
      <c r="B115" s="167"/>
      <c r="E115" s="245"/>
      <c r="H115" s="175"/>
    </row>
    <row r="116" spans="1:17" s="178" customFormat="1" ht="119.25" customHeight="1">
      <c r="A116" s="141" t="s">
        <v>46</v>
      </c>
      <c r="B116" s="52" t="s">
        <v>156</v>
      </c>
      <c r="C116" s="132"/>
      <c r="D116" s="132"/>
      <c r="E116" s="245"/>
      <c r="F116" s="132"/>
      <c r="G116" s="134"/>
      <c r="H116" s="175"/>
      <c r="I116" s="176"/>
      <c r="J116" s="177"/>
      <c r="M116" s="179"/>
      <c r="N116" s="179"/>
      <c r="O116" s="179"/>
      <c r="Q116" s="135"/>
    </row>
    <row r="117" spans="1:17">
      <c r="A117" s="186"/>
      <c r="B117" s="167"/>
      <c r="C117" s="169"/>
      <c r="D117" s="169"/>
      <c r="E117" s="245"/>
      <c r="F117" s="169"/>
      <c r="G117" s="170"/>
      <c r="H117" s="178"/>
      <c r="Q117" s="171"/>
    </row>
    <row r="118" spans="1:17">
      <c r="B118" s="167" t="s">
        <v>20</v>
      </c>
      <c r="C118" s="219">
        <v>12.8</v>
      </c>
      <c r="E118" s="246"/>
      <c r="G118" s="220"/>
      <c r="H118" s="132"/>
    </row>
    <row r="119" spans="1:17">
      <c r="B119" s="167"/>
      <c r="C119" s="136"/>
      <c r="D119" s="136"/>
      <c r="E119" s="252"/>
      <c r="F119" s="136"/>
      <c r="G119" s="136"/>
      <c r="H119" s="175"/>
    </row>
    <row r="120" spans="1:17" s="178" customFormat="1" ht="117.2" customHeight="1">
      <c r="A120" s="141" t="s">
        <v>47</v>
      </c>
      <c r="B120" s="167" t="s">
        <v>157</v>
      </c>
      <c r="C120" s="132"/>
      <c r="D120" s="132"/>
      <c r="E120" s="245"/>
      <c r="F120" s="132"/>
      <c r="G120" s="134"/>
      <c r="H120" s="175"/>
      <c r="I120" s="176"/>
      <c r="J120" s="177"/>
      <c r="M120" s="179"/>
      <c r="N120" s="179"/>
      <c r="O120" s="179"/>
      <c r="Q120" s="135"/>
    </row>
    <row r="121" spans="1:17">
      <c r="A121" s="186"/>
      <c r="B121" s="167"/>
      <c r="C121" s="169"/>
      <c r="D121" s="169"/>
      <c r="E121" s="245"/>
      <c r="F121" s="169"/>
      <c r="G121" s="170"/>
      <c r="H121" s="178"/>
      <c r="Q121" s="171"/>
    </row>
    <row r="122" spans="1:17">
      <c r="B122" s="167" t="s">
        <v>20</v>
      </c>
      <c r="C122" s="219">
        <v>45.7</v>
      </c>
      <c r="E122" s="246"/>
      <c r="G122" s="220"/>
      <c r="H122" s="132"/>
    </row>
    <row r="123" spans="1:17">
      <c r="B123" s="167"/>
      <c r="E123" s="245"/>
      <c r="H123" s="175"/>
    </row>
    <row r="124" spans="1:17" ht="96" customHeight="1">
      <c r="A124" s="141" t="s">
        <v>48</v>
      </c>
      <c r="B124" s="167" t="s">
        <v>158</v>
      </c>
      <c r="E124" s="245"/>
      <c r="H124" s="175"/>
    </row>
    <row r="125" spans="1:17">
      <c r="A125" s="186"/>
      <c r="B125" s="167"/>
      <c r="E125" s="245"/>
      <c r="H125" s="175"/>
    </row>
    <row r="126" spans="1:17">
      <c r="B126" s="167" t="s">
        <v>20</v>
      </c>
      <c r="C126" s="219">
        <f>123.91*0.99</f>
        <v>122.67089999999999</v>
      </c>
      <c r="E126" s="246"/>
      <c r="G126" s="220"/>
      <c r="H126" s="132"/>
    </row>
    <row r="127" spans="1:17">
      <c r="B127" s="167"/>
      <c r="C127" s="202" t="s">
        <v>170</v>
      </c>
      <c r="D127" s="205"/>
      <c r="E127" s="251" t="s">
        <v>171</v>
      </c>
      <c r="F127" s="203"/>
      <c r="G127" s="204" t="s">
        <v>164</v>
      </c>
      <c r="H127" s="175"/>
    </row>
    <row r="128" spans="1:17" s="178" customFormat="1" ht="25.5">
      <c r="A128" s="141" t="s">
        <v>49</v>
      </c>
      <c r="B128" s="167" t="s">
        <v>159</v>
      </c>
      <c r="C128" s="132"/>
      <c r="D128" s="132"/>
      <c r="E128" s="245"/>
      <c r="F128" s="132"/>
      <c r="G128" s="134"/>
      <c r="H128" s="175"/>
      <c r="Q128" s="135"/>
    </row>
    <row r="129" spans="1:17">
      <c r="A129" s="186"/>
      <c r="B129" s="167"/>
      <c r="C129" s="169"/>
      <c r="D129" s="169"/>
      <c r="E129" s="245"/>
      <c r="F129" s="169"/>
      <c r="G129" s="170"/>
      <c r="H129" s="178"/>
      <c r="I129" s="136"/>
      <c r="J129" s="136"/>
      <c r="M129" s="136"/>
      <c r="N129" s="136"/>
      <c r="O129" s="136"/>
      <c r="Q129" s="171"/>
    </row>
    <row r="130" spans="1:17">
      <c r="B130" s="167" t="s">
        <v>20</v>
      </c>
      <c r="C130" s="219">
        <f>123.91*0.01</f>
        <v>1.2391000000000001</v>
      </c>
      <c r="E130" s="246"/>
      <c r="G130" s="220"/>
      <c r="H130" s="132"/>
      <c r="I130" s="136"/>
      <c r="J130" s="136"/>
      <c r="M130" s="136"/>
      <c r="N130" s="136"/>
      <c r="O130" s="136"/>
    </row>
    <row r="131" spans="1:17">
      <c r="B131" s="167"/>
      <c r="E131" s="245"/>
      <c r="H131" s="175"/>
      <c r="I131" s="136"/>
      <c r="J131" s="136"/>
      <c r="M131" s="136"/>
      <c r="N131" s="136"/>
      <c r="O131" s="136"/>
    </row>
    <row r="132" spans="1:17" ht="63.75">
      <c r="A132" s="141" t="s">
        <v>50</v>
      </c>
      <c r="B132" s="167" t="s">
        <v>160</v>
      </c>
      <c r="E132" s="245"/>
      <c r="H132" s="175"/>
    </row>
    <row r="133" spans="1:17">
      <c r="A133" s="186"/>
      <c r="B133" s="167"/>
      <c r="E133" s="245"/>
      <c r="H133" s="175"/>
    </row>
    <row r="134" spans="1:17">
      <c r="B134" s="167" t="s">
        <v>20</v>
      </c>
      <c r="C134" s="219">
        <v>41.2</v>
      </c>
      <c r="E134" s="246"/>
      <c r="G134" s="220"/>
      <c r="H134" s="132"/>
    </row>
    <row r="135" spans="1:17">
      <c r="B135" s="167"/>
      <c r="E135" s="245"/>
      <c r="H135" s="175"/>
    </row>
    <row r="136" spans="1:17" ht="331.5" customHeight="1">
      <c r="A136" s="141" t="s">
        <v>51</v>
      </c>
      <c r="B136" s="16" t="s">
        <v>93</v>
      </c>
      <c r="E136" s="245"/>
      <c r="H136" s="175"/>
    </row>
    <row r="137" spans="1:17">
      <c r="A137" s="186"/>
      <c r="B137" s="187"/>
      <c r="E137" s="245"/>
      <c r="H137" s="175"/>
    </row>
    <row r="138" spans="1:17">
      <c r="B138" s="167" t="s">
        <v>25</v>
      </c>
      <c r="C138" s="132">
        <f>C90</f>
        <v>127</v>
      </c>
      <c r="E138" s="244"/>
      <c r="G138" s="220"/>
      <c r="H138" s="132"/>
    </row>
    <row r="139" spans="1:17">
      <c r="B139" s="167"/>
      <c r="E139" s="245"/>
      <c r="H139" s="132"/>
    </row>
    <row r="140" spans="1:17" ht="43.5" customHeight="1">
      <c r="A140" s="141" t="s">
        <v>67</v>
      </c>
      <c r="B140" s="16" t="s">
        <v>249</v>
      </c>
      <c r="E140" s="245"/>
      <c r="H140" s="175"/>
    </row>
    <row r="141" spans="1:17">
      <c r="A141" s="186"/>
      <c r="B141" s="187"/>
      <c r="E141" s="245"/>
      <c r="H141" s="175"/>
    </row>
    <row r="142" spans="1:17">
      <c r="B142" s="167" t="s">
        <v>25</v>
      </c>
      <c r="C142" s="219">
        <v>77</v>
      </c>
      <c r="E142" s="246"/>
      <c r="G142" s="220"/>
      <c r="H142" s="132"/>
    </row>
    <row r="143" spans="1:17">
      <c r="B143" s="167"/>
      <c r="E143" s="245"/>
      <c r="H143" s="175"/>
    </row>
    <row r="144" spans="1:17" ht="25.5">
      <c r="A144" s="141" t="s">
        <v>63</v>
      </c>
      <c r="B144" s="187" t="s">
        <v>248</v>
      </c>
      <c r="E144" s="245"/>
      <c r="H144" s="175"/>
    </row>
    <row r="145" spans="1:17">
      <c r="A145" s="186"/>
      <c r="B145" s="187"/>
      <c r="E145" s="245"/>
      <c r="H145" s="175"/>
    </row>
    <row r="146" spans="1:17">
      <c r="B146" s="167" t="s">
        <v>25</v>
      </c>
      <c r="C146" s="132">
        <f>4.5/0.05</f>
        <v>90</v>
      </c>
      <c r="E146" s="246"/>
      <c r="G146" s="220"/>
      <c r="H146" s="132"/>
    </row>
    <row r="147" spans="1:17">
      <c r="B147" s="167"/>
      <c r="C147" s="202" t="s">
        <v>170</v>
      </c>
      <c r="D147" s="205"/>
      <c r="E147" s="251" t="s">
        <v>171</v>
      </c>
      <c r="F147" s="203"/>
      <c r="G147" s="204" t="s">
        <v>164</v>
      </c>
      <c r="H147" s="175"/>
    </row>
    <row r="148" spans="1:17" ht="51">
      <c r="A148" s="141" t="s">
        <v>57</v>
      </c>
      <c r="B148" s="167" t="s">
        <v>161</v>
      </c>
      <c r="E148" s="245"/>
      <c r="H148" s="175"/>
    </row>
    <row r="149" spans="1:17">
      <c r="B149" s="167"/>
      <c r="E149" s="245"/>
      <c r="H149" s="175"/>
    </row>
    <row r="150" spans="1:17">
      <c r="B150" s="167" t="s">
        <v>20</v>
      </c>
      <c r="C150" s="219">
        <f>(224.45-C130)*1.3</f>
        <v>290.17417</v>
      </c>
      <c r="E150" s="246"/>
      <c r="G150" s="220"/>
      <c r="H150" s="132"/>
    </row>
    <row r="151" spans="1:17">
      <c r="B151" s="167"/>
      <c r="E151" s="245"/>
      <c r="H151" s="175"/>
    </row>
    <row r="152" spans="1:17" ht="51">
      <c r="A152" s="141" t="s">
        <v>58</v>
      </c>
      <c r="B152" s="167" t="s">
        <v>162</v>
      </c>
      <c r="E152" s="245"/>
      <c r="H152" s="175"/>
    </row>
    <row r="153" spans="1:17">
      <c r="B153" s="167"/>
      <c r="E153" s="245"/>
      <c r="H153" s="175"/>
    </row>
    <row r="154" spans="1:17">
      <c r="B154" s="167" t="s">
        <v>25</v>
      </c>
      <c r="C154" s="219">
        <f>C86/0.15</f>
        <v>5.666666666666667</v>
      </c>
      <c r="E154" s="246"/>
      <c r="G154" s="220"/>
      <c r="H154" s="132"/>
    </row>
    <row r="155" spans="1:17">
      <c r="B155" s="167"/>
      <c r="E155" s="245"/>
      <c r="H155" s="175"/>
    </row>
    <row r="156" spans="1:17" ht="25.5">
      <c r="A156" s="141" t="s">
        <v>64</v>
      </c>
      <c r="B156" s="167" t="s">
        <v>163</v>
      </c>
      <c r="E156" s="245"/>
      <c r="H156" s="175"/>
    </row>
    <row r="157" spans="1:17">
      <c r="B157" s="167"/>
      <c r="E157" s="245"/>
      <c r="H157" s="175"/>
    </row>
    <row r="158" spans="1:17">
      <c r="B158" s="167" t="s">
        <v>41</v>
      </c>
      <c r="C158" s="219">
        <v>2</v>
      </c>
      <c r="E158" s="246"/>
      <c r="G158" s="220"/>
      <c r="H158" s="132"/>
    </row>
    <row r="159" spans="1:17">
      <c r="B159" s="167"/>
      <c r="C159" s="136"/>
      <c r="D159" s="136"/>
      <c r="E159" s="136"/>
      <c r="F159" s="136"/>
      <c r="G159" s="136"/>
      <c r="H159" s="175"/>
    </row>
    <row r="160" spans="1:17" s="178" customFormat="1" ht="63.75">
      <c r="A160" s="141" t="s">
        <v>65</v>
      </c>
      <c r="B160" s="167" t="s">
        <v>7</v>
      </c>
      <c r="C160" s="132"/>
      <c r="D160" s="132"/>
      <c r="E160" s="133"/>
      <c r="F160" s="132"/>
      <c r="G160" s="134"/>
      <c r="H160" s="175"/>
      <c r="I160" s="176"/>
      <c r="J160" s="177"/>
      <c r="M160" s="179"/>
      <c r="N160" s="179"/>
      <c r="O160" s="179"/>
      <c r="Q160" s="135"/>
    </row>
    <row r="161" spans="1:17">
      <c r="B161" s="167"/>
      <c r="C161" s="169"/>
      <c r="D161" s="169"/>
      <c r="E161" s="172"/>
      <c r="F161" s="169"/>
      <c r="G161" s="170"/>
      <c r="H161" s="178"/>
      <c r="Q161" s="171"/>
    </row>
    <row r="162" spans="1:17">
      <c r="B162" s="167" t="s">
        <v>39</v>
      </c>
      <c r="G162" s="220"/>
      <c r="H162" s="132"/>
    </row>
    <row r="163" spans="1:17">
      <c r="B163" s="167"/>
      <c r="H163" s="175"/>
    </row>
    <row r="164" spans="1:17" s="7" customFormat="1">
      <c r="A164" s="141"/>
      <c r="B164" s="174" t="s">
        <v>21</v>
      </c>
      <c r="C164" s="163"/>
      <c r="D164" s="163"/>
      <c r="E164" s="164"/>
      <c r="F164" s="163"/>
      <c r="G164" s="211"/>
      <c r="H164" s="149"/>
      <c r="I164" s="26"/>
      <c r="J164" s="22"/>
      <c r="M164" s="30"/>
      <c r="N164" s="30"/>
      <c r="O164" s="30"/>
      <c r="Q164" s="166"/>
    </row>
    <row r="165" spans="1:17">
      <c r="B165" s="167"/>
      <c r="C165" s="173"/>
      <c r="H165" s="132"/>
      <c r="Q165" s="188"/>
    </row>
    <row r="166" spans="1:17">
      <c r="B166" s="167"/>
      <c r="C166" s="173"/>
      <c r="H166" s="132"/>
    </row>
    <row r="167" spans="1:17">
      <c r="B167" s="189"/>
      <c r="H167" s="175"/>
    </row>
    <row r="168" spans="1:17">
      <c r="B168" s="167"/>
      <c r="H168" s="175"/>
    </row>
    <row r="169" spans="1:17">
      <c r="B169" s="167"/>
      <c r="C169" s="173"/>
      <c r="H169" s="132"/>
    </row>
    <row r="170" spans="1:17">
      <c r="B170" s="167"/>
      <c r="H170" s="132"/>
    </row>
    <row r="171" spans="1:17">
      <c r="B171" s="167"/>
      <c r="H171" s="132"/>
    </row>
    <row r="172" spans="1:17" ht="94.5" customHeight="1">
      <c r="B172" s="189"/>
      <c r="H172" s="175"/>
      <c r="K172" s="10"/>
      <c r="M172" s="189"/>
    </row>
    <row r="173" spans="1:17">
      <c r="B173" s="167"/>
      <c r="H173" s="175"/>
      <c r="K173" s="153"/>
      <c r="L173" s="153"/>
    </row>
    <row r="174" spans="1:17">
      <c r="B174" s="167"/>
      <c r="C174" s="173"/>
      <c r="H174" s="132"/>
    </row>
    <row r="175" spans="1:17">
      <c r="B175" s="167"/>
      <c r="C175" s="173"/>
      <c r="H175" s="132"/>
    </row>
    <row r="176" spans="1:17" ht="111" customHeight="1">
      <c r="B176" s="189"/>
      <c r="H176" s="175"/>
      <c r="K176" s="10"/>
      <c r="M176" s="189"/>
    </row>
    <row r="177" spans="1:17">
      <c r="B177" s="167"/>
      <c r="H177" s="175"/>
    </row>
    <row r="178" spans="1:17">
      <c r="B178" s="167"/>
      <c r="C178" s="173"/>
      <c r="E178" s="135"/>
      <c r="H178" s="132"/>
    </row>
    <row r="179" spans="1:17">
      <c r="B179" s="167"/>
      <c r="C179" s="173"/>
      <c r="H179" s="132"/>
    </row>
    <row r="180" spans="1:17">
      <c r="B180" s="189"/>
      <c r="H180" s="175"/>
      <c r="K180" s="10"/>
    </row>
    <row r="181" spans="1:17">
      <c r="B181" s="167"/>
      <c r="H181" s="175"/>
    </row>
    <row r="182" spans="1:17">
      <c r="B182" s="167"/>
      <c r="C182" s="173"/>
      <c r="E182" s="135"/>
      <c r="H182" s="132"/>
    </row>
    <row r="183" spans="1:17">
      <c r="B183" s="167"/>
      <c r="C183" s="173"/>
      <c r="H183" s="132"/>
    </row>
    <row r="184" spans="1:17">
      <c r="B184" s="189"/>
      <c r="H184" s="175"/>
      <c r="K184" s="10"/>
      <c r="M184" s="189"/>
    </row>
    <row r="185" spans="1:17">
      <c r="B185" s="167"/>
      <c r="H185" s="175"/>
    </row>
    <row r="186" spans="1:17">
      <c r="B186" s="167"/>
      <c r="C186" s="173"/>
      <c r="E186" s="135"/>
      <c r="H186" s="132"/>
    </row>
    <row r="187" spans="1:17">
      <c r="A187" s="11"/>
      <c r="B187" s="9"/>
      <c r="C187" s="46"/>
      <c r="D187" s="7"/>
      <c r="F187" s="7"/>
      <c r="G187" s="99"/>
      <c r="H187" s="7"/>
      <c r="Q187" s="91"/>
    </row>
    <row r="188" spans="1:17">
      <c r="B188" s="189"/>
      <c r="H188" s="175"/>
      <c r="K188" s="10"/>
    </row>
    <row r="189" spans="1:17">
      <c r="B189" s="167"/>
      <c r="H189" s="175"/>
    </row>
    <row r="190" spans="1:17">
      <c r="B190" s="167"/>
      <c r="C190" s="173"/>
      <c r="E190" s="135"/>
      <c r="H190" s="132"/>
    </row>
    <row r="191" spans="1:17">
      <c r="B191" s="167"/>
      <c r="C191" s="173"/>
      <c r="H191" s="132"/>
    </row>
    <row r="192" spans="1:17">
      <c r="B192" s="189"/>
      <c r="H192" s="175"/>
      <c r="K192" s="10"/>
    </row>
    <row r="193" spans="2:17">
      <c r="B193" s="167"/>
      <c r="H193" s="175"/>
    </row>
    <row r="194" spans="2:17">
      <c r="B194" s="167"/>
      <c r="C194" s="173"/>
      <c r="H194" s="132"/>
    </row>
    <row r="195" spans="2:17">
      <c r="B195" s="167"/>
      <c r="C195" s="173"/>
      <c r="H195" s="132"/>
      <c r="Q195" s="188"/>
    </row>
    <row r="196" spans="2:17">
      <c r="B196" s="189"/>
      <c r="H196" s="175"/>
    </row>
    <row r="197" spans="2:17">
      <c r="B197" s="167"/>
      <c r="H197" s="175"/>
    </row>
    <row r="198" spans="2:17">
      <c r="B198" s="167"/>
      <c r="C198" s="173"/>
      <c r="E198" s="135"/>
      <c r="H198" s="132"/>
    </row>
    <row r="199" spans="2:17">
      <c r="B199" s="167"/>
      <c r="C199" s="173"/>
      <c r="H199" s="132"/>
      <c r="Q199" s="188"/>
    </row>
    <row r="200" spans="2:17">
      <c r="B200" s="189"/>
      <c r="H200" s="175"/>
    </row>
    <row r="201" spans="2:17">
      <c r="B201" s="167"/>
      <c r="H201" s="175"/>
    </row>
    <row r="202" spans="2:17">
      <c r="B202" s="167"/>
      <c r="C202" s="173"/>
      <c r="H202" s="132"/>
    </row>
    <row r="203" spans="2:17">
      <c r="B203" s="167"/>
      <c r="C203" s="173"/>
      <c r="H203" s="132"/>
    </row>
    <row r="204" spans="2:17">
      <c r="B204" s="189"/>
      <c r="H204" s="175"/>
      <c r="K204" s="167"/>
    </row>
    <row r="205" spans="2:17">
      <c r="B205" s="167"/>
      <c r="H205" s="175"/>
    </row>
    <row r="206" spans="2:17">
      <c r="B206" s="167"/>
      <c r="C206" s="173"/>
      <c r="E206" s="135"/>
      <c r="H206" s="132"/>
    </row>
    <row r="207" spans="2:17">
      <c r="B207" s="167"/>
      <c r="C207" s="173"/>
      <c r="H207" s="132"/>
    </row>
    <row r="208" spans="2:17">
      <c r="B208" s="189"/>
      <c r="H208" s="175"/>
    </row>
    <row r="209" spans="1:17">
      <c r="B209" s="167"/>
      <c r="H209" s="175"/>
      <c r="K209" s="190"/>
    </row>
    <row r="210" spans="1:17" s="137" customFormat="1">
      <c r="A210" s="141"/>
      <c r="B210" s="167"/>
      <c r="C210" s="173"/>
      <c r="D210" s="132"/>
      <c r="E210" s="135"/>
      <c r="F210" s="132"/>
      <c r="G210" s="134"/>
      <c r="H210" s="132"/>
      <c r="J210" s="138"/>
      <c r="K210" s="136"/>
      <c r="L210" s="136"/>
      <c r="M210" s="139"/>
      <c r="N210" s="139"/>
      <c r="O210" s="139"/>
      <c r="P210" s="136"/>
      <c r="Q210" s="135"/>
    </row>
    <row r="211" spans="1:17" s="137" customFormat="1">
      <c r="A211" s="141"/>
      <c r="B211" s="167"/>
      <c r="C211" s="132"/>
      <c r="D211" s="132"/>
      <c r="E211" s="191"/>
      <c r="F211" s="132"/>
      <c r="G211" s="134"/>
      <c r="H211" s="132"/>
      <c r="J211" s="138"/>
      <c r="K211" s="136"/>
      <c r="L211" s="136"/>
      <c r="M211" s="139"/>
      <c r="N211" s="139"/>
      <c r="O211" s="139"/>
      <c r="P211" s="136"/>
      <c r="Q211" s="135"/>
    </row>
    <row r="212" spans="1:17" s="137" customFormat="1" ht="80.25" customHeight="1">
      <c r="A212" s="141"/>
      <c r="B212" s="189"/>
      <c r="C212" s="132"/>
      <c r="D212" s="132"/>
      <c r="E212" s="191"/>
      <c r="F212" s="132"/>
      <c r="G212" s="134"/>
      <c r="H212" s="175"/>
      <c r="J212" s="138"/>
      <c r="K212" s="136"/>
      <c r="L212" s="136"/>
      <c r="M212" s="139"/>
      <c r="N212" s="139"/>
      <c r="O212" s="139"/>
      <c r="P212" s="136"/>
      <c r="Q212" s="135"/>
    </row>
    <row r="213" spans="1:17" s="137" customFormat="1">
      <c r="A213" s="141"/>
      <c r="B213" s="167"/>
      <c r="C213" s="132"/>
      <c r="D213" s="132"/>
      <c r="E213" s="191"/>
      <c r="F213" s="132"/>
      <c r="G213" s="134"/>
      <c r="H213" s="175"/>
      <c r="J213" s="138"/>
      <c r="K213" s="136"/>
      <c r="L213" s="136"/>
      <c r="M213" s="139"/>
      <c r="N213" s="139"/>
      <c r="O213" s="139"/>
      <c r="P213" s="136"/>
      <c r="Q213" s="135"/>
    </row>
    <row r="214" spans="1:17" s="137" customFormat="1">
      <c r="A214" s="141"/>
      <c r="B214" s="167"/>
      <c r="C214" s="173"/>
      <c r="D214" s="132"/>
      <c r="E214" s="135"/>
      <c r="F214" s="132"/>
      <c r="G214" s="134"/>
      <c r="H214" s="132"/>
      <c r="J214" s="138"/>
      <c r="K214" s="136"/>
      <c r="L214" s="136"/>
      <c r="M214" s="139"/>
      <c r="N214" s="139"/>
      <c r="O214" s="139"/>
      <c r="P214" s="136"/>
      <c r="Q214" s="135"/>
    </row>
    <row r="215" spans="1:17" s="137" customFormat="1">
      <c r="A215" s="141"/>
      <c r="B215" s="167"/>
      <c r="C215" s="173"/>
      <c r="D215" s="132"/>
      <c r="E215" s="191"/>
      <c r="F215" s="132"/>
      <c r="G215" s="134"/>
      <c r="H215" s="132"/>
      <c r="J215" s="138"/>
      <c r="K215" s="136"/>
      <c r="L215" s="136"/>
      <c r="M215" s="139"/>
      <c r="N215" s="139"/>
      <c r="O215" s="139"/>
      <c r="P215" s="136"/>
      <c r="Q215" s="135"/>
    </row>
    <row r="216" spans="1:17" s="137" customFormat="1">
      <c r="A216" s="141"/>
      <c r="B216" s="189"/>
      <c r="C216" s="132"/>
      <c r="D216" s="132"/>
      <c r="E216" s="191"/>
      <c r="F216" s="132"/>
      <c r="G216" s="134"/>
      <c r="H216" s="175"/>
      <c r="J216" s="138"/>
      <c r="K216" s="136"/>
      <c r="L216" s="136"/>
      <c r="M216" s="139"/>
      <c r="N216" s="139"/>
      <c r="O216" s="139"/>
      <c r="P216" s="136"/>
      <c r="Q216" s="135"/>
    </row>
    <row r="217" spans="1:17" s="137" customFormat="1">
      <c r="A217" s="141"/>
      <c r="B217" s="167"/>
      <c r="C217" s="132"/>
      <c r="D217" s="132"/>
      <c r="E217" s="191"/>
      <c r="F217" s="132"/>
      <c r="G217" s="134"/>
      <c r="H217" s="175"/>
      <c r="J217" s="138"/>
      <c r="K217" s="136"/>
      <c r="L217" s="136"/>
      <c r="M217" s="139"/>
      <c r="N217" s="139"/>
      <c r="O217" s="139"/>
      <c r="P217" s="136"/>
      <c r="Q217" s="135"/>
    </row>
    <row r="218" spans="1:17" s="137" customFormat="1">
      <c r="A218" s="141"/>
      <c r="B218" s="167"/>
      <c r="C218" s="173"/>
      <c r="D218" s="132"/>
      <c r="E218" s="135"/>
      <c r="F218" s="132"/>
      <c r="G218" s="134"/>
      <c r="H218" s="132"/>
      <c r="J218" s="138"/>
      <c r="K218" s="136"/>
      <c r="L218" s="136"/>
      <c r="M218" s="139"/>
      <c r="N218" s="139"/>
      <c r="O218" s="139"/>
      <c r="P218" s="136"/>
      <c r="Q218" s="135"/>
    </row>
    <row r="219" spans="1:17" s="137" customFormat="1">
      <c r="A219" s="141"/>
      <c r="B219" s="167"/>
      <c r="C219" s="173"/>
      <c r="D219" s="132"/>
      <c r="E219" s="133"/>
      <c r="F219" s="132"/>
      <c r="G219" s="134"/>
      <c r="H219" s="132"/>
      <c r="J219" s="138"/>
      <c r="K219" s="136"/>
      <c r="L219" s="136"/>
      <c r="M219" s="139"/>
      <c r="N219" s="139"/>
      <c r="O219" s="139"/>
      <c r="P219" s="136"/>
      <c r="Q219" s="135"/>
    </row>
    <row r="220" spans="1:17" s="137" customFormat="1">
      <c r="A220" s="141"/>
      <c r="B220" s="189"/>
      <c r="C220" s="132"/>
      <c r="D220" s="132"/>
      <c r="E220" s="191"/>
      <c r="F220" s="132"/>
      <c r="G220" s="134"/>
      <c r="H220" s="175"/>
      <c r="J220" s="138"/>
      <c r="K220" s="136"/>
      <c r="L220" s="136"/>
      <c r="M220" s="139"/>
      <c r="N220" s="139"/>
      <c r="O220" s="139"/>
      <c r="P220" s="136"/>
      <c r="Q220" s="135"/>
    </row>
    <row r="221" spans="1:17" s="137" customFormat="1">
      <c r="A221" s="141"/>
      <c r="B221" s="167"/>
      <c r="C221" s="132"/>
      <c r="D221" s="132"/>
      <c r="E221" s="191"/>
      <c r="F221" s="132"/>
      <c r="G221" s="134"/>
      <c r="H221" s="175"/>
      <c r="J221" s="138"/>
      <c r="K221" s="136"/>
      <c r="L221" s="136"/>
      <c r="M221" s="139"/>
      <c r="N221" s="139"/>
      <c r="O221" s="139"/>
      <c r="P221" s="136"/>
      <c r="Q221" s="135"/>
    </row>
    <row r="222" spans="1:17" s="137" customFormat="1">
      <c r="A222" s="141"/>
      <c r="B222" s="167"/>
      <c r="C222" s="173"/>
      <c r="D222" s="132"/>
      <c r="E222" s="135"/>
      <c r="F222" s="132"/>
      <c r="G222" s="134"/>
      <c r="H222" s="132"/>
      <c r="J222" s="138"/>
      <c r="K222" s="136"/>
      <c r="L222" s="136"/>
      <c r="M222" s="139"/>
      <c r="N222" s="139"/>
      <c r="O222" s="139"/>
      <c r="P222" s="136"/>
      <c r="Q222" s="135"/>
    </row>
    <row r="223" spans="1:17" s="137" customFormat="1">
      <c r="A223" s="141"/>
      <c r="B223" s="167"/>
      <c r="C223" s="132"/>
      <c r="D223" s="132"/>
      <c r="E223" s="191"/>
      <c r="F223" s="132"/>
      <c r="G223" s="134"/>
      <c r="H223" s="132"/>
      <c r="J223" s="138"/>
      <c r="K223" s="136"/>
      <c r="L223" s="136"/>
      <c r="M223" s="139"/>
      <c r="N223" s="139"/>
      <c r="O223" s="139"/>
      <c r="P223" s="136"/>
      <c r="Q223" s="135"/>
    </row>
    <row r="224" spans="1:17" s="137" customFormat="1">
      <c r="A224" s="141"/>
      <c r="B224" s="189"/>
      <c r="C224" s="132"/>
      <c r="D224" s="132"/>
      <c r="E224" s="133"/>
      <c r="F224" s="132"/>
      <c r="G224" s="134"/>
      <c r="H224" s="175"/>
      <c r="J224" s="138"/>
      <c r="K224" s="136"/>
      <c r="L224" s="136"/>
      <c r="M224" s="139"/>
      <c r="N224" s="139"/>
      <c r="O224" s="139"/>
      <c r="P224" s="136"/>
      <c r="Q224" s="135"/>
    </row>
    <row r="225" spans="1:17" s="137" customFormat="1">
      <c r="A225" s="141"/>
      <c r="B225" s="167"/>
      <c r="C225" s="132"/>
      <c r="D225" s="132"/>
      <c r="E225" s="133"/>
      <c r="F225" s="132"/>
      <c r="G225" s="134"/>
      <c r="H225" s="175"/>
      <c r="J225" s="138"/>
      <c r="K225" s="136"/>
      <c r="L225" s="136"/>
      <c r="M225" s="139"/>
      <c r="N225" s="139"/>
      <c r="O225" s="139"/>
      <c r="P225" s="136"/>
      <c r="Q225" s="135"/>
    </row>
    <row r="226" spans="1:17" s="137" customFormat="1">
      <c r="A226" s="141"/>
      <c r="B226" s="167"/>
      <c r="C226" s="173"/>
      <c r="D226" s="132"/>
      <c r="E226" s="135"/>
      <c r="F226" s="132"/>
      <c r="G226" s="134"/>
      <c r="H226" s="132"/>
      <c r="J226" s="138"/>
      <c r="K226" s="136"/>
      <c r="L226" s="136"/>
      <c r="M226" s="139"/>
      <c r="N226" s="139"/>
      <c r="O226" s="139"/>
      <c r="P226" s="136"/>
      <c r="Q226" s="135"/>
    </row>
    <row r="227" spans="1:17" s="137" customFormat="1">
      <c r="A227" s="141"/>
      <c r="B227" s="167"/>
      <c r="C227" s="132"/>
      <c r="D227" s="132"/>
      <c r="E227" s="191"/>
      <c r="F227" s="132"/>
      <c r="G227" s="134"/>
      <c r="H227" s="132"/>
      <c r="J227" s="138"/>
      <c r="K227" s="136"/>
      <c r="L227" s="136"/>
      <c r="M227" s="139"/>
      <c r="N227" s="139"/>
      <c r="O227" s="139"/>
      <c r="P227" s="136"/>
      <c r="Q227" s="135"/>
    </row>
    <row r="228" spans="1:17" s="137" customFormat="1" ht="80.25" customHeight="1">
      <c r="A228" s="141"/>
      <c r="B228" s="189"/>
      <c r="C228" s="132"/>
      <c r="D228" s="132"/>
      <c r="E228" s="191"/>
      <c r="F228" s="132"/>
      <c r="G228" s="134"/>
      <c r="H228" s="175"/>
      <c r="J228" s="138"/>
      <c r="K228" s="136"/>
      <c r="L228" s="136"/>
      <c r="M228" s="139"/>
      <c r="N228" s="139"/>
      <c r="O228" s="139"/>
      <c r="P228" s="136"/>
      <c r="Q228" s="135"/>
    </row>
    <row r="229" spans="1:17" s="137" customFormat="1">
      <c r="A229" s="141"/>
      <c r="B229" s="167"/>
      <c r="C229" s="132"/>
      <c r="D229" s="132"/>
      <c r="E229" s="191"/>
      <c r="F229" s="132"/>
      <c r="G229" s="134"/>
      <c r="H229" s="175"/>
      <c r="J229" s="138"/>
      <c r="K229" s="136"/>
      <c r="L229" s="136"/>
      <c r="M229" s="139"/>
      <c r="N229" s="139"/>
      <c r="O229" s="139"/>
      <c r="P229" s="136"/>
      <c r="Q229" s="135"/>
    </row>
    <row r="230" spans="1:17" s="137" customFormat="1">
      <c r="A230" s="141"/>
      <c r="B230" s="167"/>
      <c r="C230" s="173"/>
      <c r="D230" s="132"/>
      <c r="E230" s="135"/>
      <c r="F230" s="132"/>
      <c r="G230" s="134"/>
      <c r="H230" s="132"/>
      <c r="J230" s="138"/>
      <c r="K230" s="136"/>
      <c r="L230" s="136"/>
      <c r="M230" s="139"/>
      <c r="N230" s="139"/>
      <c r="O230" s="139"/>
      <c r="P230" s="136"/>
      <c r="Q230" s="135"/>
    </row>
    <row r="231" spans="1:17" s="137" customFormat="1">
      <c r="A231" s="141"/>
      <c r="B231" s="167"/>
      <c r="C231" s="132"/>
      <c r="D231" s="132"/>
      <c r="E231" s="191"/>
      <c r="F231" s="132"/>
      <c r="G231" s="134"/>
      <c r="H231" s="132"/>
      <c r="J231" s="138"/>
      <c r="K231" s="136"/>
      <c r="L231" s="136"/>
      <c r="M231" s="139"/>
      <c r="N231" s="139"/>
      <c r="O231" s="139"/>
      <c r="P231" s="136"/>
      <c r="Q231" s="135"/>
    </row>
    <row r="232" spans="1:17" s="137" customFormat="1" ht="54.75" customHeight="1">
      <c r="A232" s="141"/>
      <c r="B232" s="189"/>
      <c r="C232" s="132"/>
      <c r="D232" s="132"/>
      <c r="E232" s="133"/>
      <c r="F232" s="132"/>
      <c r="G232" s="134"/>
      <c r="H232" s="175"/>
      <c r="J232" s="138"/>
      <c r="K232" s="136"/>
      <c r="L232" s="136"/>
      <c r="M232" s="139"/>
      <c r="N232" s="139"/>
      <c r="O232" s="139"/>
      <c r="P232" s="136"/>
      <c r="Q232" s="135"/>
    </row>
    <row r="233" spans="1:17" s="137" customFormat="1">
      <c r="A233" s="141"/>
      <c r="B233" s="167"/>
      <c r="C233" s="132"/>
      <c r="D233" s="132"/>
      <c r="E233" s="133"/>
      <c r="F233" s="132"/>
      <c r="G233" s="134"/>
      <c r="H233" s="175"/>
      <c r="J233" s="138"/>
      <c r="K233" s="136"/>
      <c r="L233" s="136"/>
      <c r="M233" s="139"/>
      <c r="N233" s="139"/>
      <c r="O233" s="139"/>
      <c r="P233" s="136"/>
      <c r="Q233" s="135"/>
    </row>
    <row r="234" spans="1:17" s="137" customFormat="1">
      <c r="A234" s="141"/>
      <c r="B234" s="167"/>
      <c r="C234" s="173"/>
      <c r="D234" s="132"/>
      <c r="E234" s="135"/>
      <c r="F234" s="132"/>
      <c r="G234" s="134"/>
      <c r="H234" s="132"/>
      <c r="J234" s="138"/>
      <c r="K234" s="136"/>
      <c r="L234" s="136"/>
      <c r="M234" s="139"/>
      <c r="N234" s="139"/>
      <c r="O234" s="139"/>
      <c r="P234" s="136"/>
      <c r="Q234" s="135"/>
    </row>
    <row r="235" spans="1:17" s="137" customFormat="1">
      <c r="A235" s="141"/>
      <c r="B235" s="167"/>
      <c r="C235" s="132"/>
      <c r="D235" s="132"/>
      <c r="E235" s="191"/>
      <c r="F235" s="132"/>
      <c r="G235" s="134"/>
      <c r="H235" s="132"/>
      <c r="J235" s="138"/>
      <c r="K235" s="136"/>
      <c r="L235" s="136"/>
      <c r="M235" s="139"/>
      <c r="N235" s="139"/>
      <c r="O235" s="139"/>
      <c r="P235" s="136"/>
      <c r="Q235" s="135"/>
    </row>
    <row r="236" spans="1:17" s="137" customFormat="1" ht="54" customHeight="1">
      <c r="A236" s="141"/>
      <c r="B236" s="189"/>
      <c r="C236" s="132"/>
      <c r="D236" s="132"/>
      <c r="E236" s="133"/>
      <c r="F236" s="132"/>
      <c r="G236" s="134"/>
      <c r="H236" s="175"/>
      <c r="J236" s="138"/>
      <c r="K236" s="136"/>
      <c r="L236" s="136"/>
      <c r="M236" s="139"/>
      <c r="N236" s="139"/>
      <c r="O236" s="139"/>
      <c r="P236" s="136"/>
      <c r="Q236" s="135"/>
    </row>
    <row r="237" spans="1:17" s="137" customFormat="1">
      <c r="A237" s="141"/>
      <c r="B237" s="167"/>
      <c r="C237" s="132"/>
      <c r="D237" s="132"/>
      <c r="E237" s="133"/>
      <c r="F237" s="132"/>
      <c r="G237" s="134"/>
      <c r="H237" s="175"/>
      <c r="J237" s="138"/>
      <c r="K237" s="136"/>
      <c r="L237" s="136"/>
      <c r="M237" s="139"/>
      <c r="N237" s="139"/>
      <c r="O237" s="139"/>
      <c r="P237" s="136"/>
      <c r="Q237" s="135"/>
    </row>
    <row r="238" spans="1:17" s="137" customFormat="1">
      <c r="A238" s="141"/>
      <c r="B238" s="167"/>
      <c r="C238" s="173"/>
      <c r="D238" s="132"/>
      <c r="E238" s="135"/>
      <c r="F238" s="132"/>
      <c r="G238" s="134"/>
      <c r="H238" s="132"/>
      <c r="J238" s="138"/>
      <c r="K238" s="136"/>
      <c r="L238" s="136"/>
      <c r="M238" s="139"/>
      <c r="N238" s="139"/>
      <c r="O238" s="139"/>
      <c r="P238" s="136"/>
      <c r="Q238" s="135"/>
    </row>
    <row r="239" spans="1:17" s="137" customFormat="1">
      <c r="A239" s="141"/>
      <c r="B239" s="167"/>
      <c r="C239" s="132"/>
      <c r="D239" s="132"/>
      <c r="E239" s="135"/>
      <c r="F239" s="132"/>
      <c r="G239" s="134"/>
      <c r="H239" s="132"/>
      <c r="J239" s="138"/>
      <c r="K239" s="136"/>
      <c r="L239" s="136"/>
      <c r="M239" s="139"/>
      <c r="N239" s="139"/>
      <c r="O239" s="139"/>
      <c r="P239" s="136"/>
      <c r="Q239" s="135"/>
    </row>
    <row r="240" spans="1:17" s="137" customFormat="1" ht="94.5" customHeight="1">
      <c r="A240" s="141"/>
      <c r="B240" s="189"/>
      <c r="C240" s="132"/>
      <c r="D240" s="132"/>
      <c r="E240" s="133"/>
      <c r="F240" s="132"/>
      <c r="G240" s="134"/>
      <c r="H240" s="175"/>
      <c r="J240" s="138"/>
      <c r="K240" s="136"/>
      <c r="L240" s="136"/>
      <c r="M240" s="139"/>
      <c r="N240" s="139"/>
      <c r="O240" s="139"/>
      <c r="P240" s="136"/>
      <c r="Q240" s="135"/>
    </row>
    <row r="241" spans="1:17" s="137" customFormat="1">
      <c r="A241" s="141"/>
      <c r="B241" s="167"/>
      <c r="C241" s="132"/>
      <c r="D241" s="132"/>
      <c r="E241" s="133"/>
      <c r="F241" s="132"/>
      <c r="G241" s="134"/>
      <c r="H241" s="175"/>
      <c r="J241" s="138"/>
      <c r="K241" s="136"/>
      <c r="L241" s="136"/>
      <c r="M241" s="139"/>
      <c r="N241" s="139"/>
      <c r="O241" s="139"/>
      <c r="P241" s="136"/>
      <c r="Q241" s="135"/>
    </row>
    <row r="242" spans="1:17">
      <c r="B242" s="167"/>
      <c r="C242" s="173"/>
      <c r="E242" s="135"/>
      <c r="H242" s="132"/>
    </row>
    <row r="243" spans="1:17">
      <c r="B243" s="167"/>
      <c r="C243" s="173"/>
      <c r="H243" s="132"/>
      <c r="Q243" s="188"/>
    </row>
    <row r="244" spans="1:17">
      <c r="B244" s="189"/>
      <c r="H244" s="175"/>
      <c r="K244" s="167"/>
    </row>
    <row r="245" spans="1:17">
      <c r="B245" s="189"/>
      <c r="H245" s="175"/>
      <c r="K245" s="167"/>
    </row>
    <row r="246" spans="1:17">
      <c r="B246" s="167"/>
      <c r="H246" s="175"/>
    </row>
    <row r="247" spans="1:17">
      <c r="B247" s="167"/>
      <c r="C247" s="173"/>
      <c r="H247" s="132"/>
    </row>
    <row r="248" spans="1:17">
      <c r="B248" s="167"/>
      <c r="C248" s="173"/>
      <c r="H248" s="132"/>
    </row>
    <row r="249" spans="1:17">
      <c r="B249" s="167"/>
      <c r="C249" s="173"/>
      <c r="H249" s="132"/>
    </row>
    <row r="250" spans="1:17">
      <c r="B250" s="167"/>
      <c r="C250" s="173"/>
      <c r="H250" s="132"/>
    </row>
    <row r="251" spans="1:17">
      <c r="B251" s="167"/>
      <c r="C251" s="173"/>
      <c r="H251" s="132"/>
    </row>
    <row r="252" spans="1:17">
      <c r="B252" s="167"/>
      <c r="C252" s="173"/>
      <c r="H252" s="132"/>
    </row>
    <row r="253" spans="1:17">
      <c r="B253" s="167"/>
      <c r="C253" s="173"/>
      <c r="H253" s="132"/>
    </row>
    <row r="254" spans="1:17">
      <c r="B254" s="167"/>
      <c r="C254" s="173"/>
      <c r="H254" s="132"/>
    </row>
    <row r="255" spans="1:17">
      <c r="B255" s="167"/>
      <c r="C255" s="173"/>
      <c r="H255" s="132"/>
    </row>
    <row r="256" spans="1:17">
      <c r="B256" s="167"/>
      <c r="C256" s="173"/>
      <c r="E256" s="135"/>
      <c r="H256" s="132"/>
    </row>
    <row r="257" spans="2:17">
      <c r="B257" s="167"/>
      <c r="C257" s="173"/>
      <c r="H257" s="132"/>
    </row>
    <row r="258" spans="2:17">
      <c r="B258" s="167"/>
      <c r="C258" s="173"/>
      <c r="H258" s="132"/>
    </row>
    <row r="259" spans="2:17">
      <c r="B259" s="167"/>
      <c r="C259" s="173"/>
      <c r="H259" s="132"/>
    </row>
    <row r="260" spans="2:17">
      <c r="B260" s="167"/>
      <c r="H260" s="132"/>
      <c r="Q260" s="188"/>
    </row>
    <row r="261" spans="2:17">
      <c r="B261" s="189"/>
      <c r="H261" s="175"/>
    </row>
    <row r="262" spans="2:17">
      <c r="B262" s="167"/>
      <c r="H262" s="175"/>
    </row>
    <row r="263" spans="2:17">
      <c r="B263" s="167"/>
      <c r="C263" s="173"/>
      <c r="H263" s="132"/>
    </row>
    <row r="264" spans="2:17">
      <c r="B264" s="167"/>
      <c r="H264" s="132"/>
      <c r="Q264" s="188"/>
    </row>
    <row r="265" spans="2:17">
      <c r="B265" s="189"/>
      <c r="H265" s="175"/>
    </row>
    <row r="266" spans="2:17">
      <c r="B266" s="167"/>
      <c r="H266" s="175"/>
    </row>
    <row r="267" spans="2:17">
      <c r="B267" s="167"/>
      <c r="C267" s="173"/>
      <c r="E267" s="135"/>
      <c r="H267" s="132"/>
    </row>
    <row r="268" spans="2:17">
      <c r="B268" s="167"/>
      <c r="C268" s="173"/>
      <c r="H268" s="132"/>
    </row>
    <row r="269" spans="2:17">
      <c r="B269" s="189"/>
      <c r="H269" s="175"/>
    </row>
    <row r="270" spans="2:17">
      <c r="B270" s="167"/>
      <c r="H270" s="175"/>
    </row>
    <row r="271" spans="2:17">
      <c r="B271" s="167"/>
      <c r="C271" s="173"/>
      <c r="H271" s="132"/>
    </row>
    <row r="272" spans="2:17">
      <c r="B272" s="167"/>
      <c r="C272" s="173"/>
      <c r="H272" s="132"/>
    </row>
    <row r="273" spans="1:17" s="5" customFormat="1">
      <c r="A273" s="6"/>
      <c r="B273" s="10"/>
      <c r="C273" s="192"/>
      <c r="D273" s="2"/>
      <c r="E273" s="133"/>
      <c r="F273" s="2"/>
      <c r="G273" s="105"/>
      <c r="H273" s="15"/>
      <c r="I273" s="25"/>
      <c r="J273" s="21"/>
      <c r="M273" s="29"/>
      <c r="N273" s="29"/>
      <c r="O273" s="29"/>
      <c r="Q273" s="89"/>
    </row>
    <row r="274" spans="1:17" s="5" customFormat="1">
      <c r="A274" s="6"/>
      <c r="B274" s="10"/>
      <c r="C274" s="192"/>
      <c r="D274" s="2"/>
      <c r="E274" s="133"/>
      <c r="F274" s="2"/>
      <c r="G274" s="105"/>
      <c r="H274" s="15"/>
      <c r="I274" s="25"/>
      <c r="J274" s="21"/>
      <c r="M274" s="29"/>
      <c r="N274" s="29"/>
      <c r="O274" s="29"/>
      <c r="Q274" s="89"/>
    </row>
    <row r="275" spans="1:17" s="5" customFormat="1">
      <c r="A275" s="6"/>
      <c r="B275" s="10"/>
      <c r="C275" s="74"/>
      <c r="D275" s="2"/>
      <c r="E275" s="133"/>
      <c r="F275" s="2"/>
      <c r="G275" s="105"/>
      <c r="H275" s="2"/>
      <c r="I275" s="25"/>
      <c r="J275" s="21"/>
      <c r="M275" s="29"/>
      <c r="N275" s="29"/>
      <c r="O275" s="29"/>
      <c r="Q275" s="89"/>
    </row>
    <row r="276" spans="1:17" s="5" customFormat="1">
      <c r="A276" s="8"/>
      <c r="B276" s="14"/>
      <c r="C276" s="14"/>
      <c r="D276" s="193"/>
      <c r="E276" s="133"/>
      <c r="F276" s="193"/>
      <c r="G276" s="194"/>
      <c r="H276" s="193"/>
      <c r="I276" s="25"/>
      <c r="J276" s="21"/>
      <c r="M276" s="29"/>
      <c r="N276" s="29"/>
      <c r="O276" s="29"/>
      <c r="Q276" s="195"/>
    </row>
    <row r="277" spans="1:17" s="5" customFormat="1">
      <c r="A277" s="6"/>
      <c r="B277" s="10"/>
      <c r="C277" s="192"/>
      <c r="D277" s="2"/>
      <c r="E277" s="133"/>
      <c r="F277" s="2"/>
      <c r="G277" s="105"/>
      <c r="H277" s="15"/>
      <c r="I277" s="25"/>
      <c r="J277" s="21"/>
      <c r="M277" s="29"/>
      <c r="N277" s="29"/>
      <c r="O277" s="29"/>
      <c r="Q277" s="89"/>
    </row>
    <row r="278" spans="1:17" s="5" customFormat="1">
      <c r="A278" s="6"/>
      <c r="B278" s="10"/>
      <c r="C278" s="192"/>
      <c r="D278" s="2"/>
      <c r="E278" s="133"/>
      <c r="F278" s="2"/>
      <c r="G278" s="105"/>
      <c r="H278" s="15"/>
      <c r="I278" s="25"/>
      <c r="J278" s="21"/>
      <c r="M278" s="29"/>
      <c r="N278" s="29"/>
      <c r="O278" s="29"/>
      <c r="Q278" s="89"/>
    </row>
    <row r="279" spans="1:17" s="5" customFormat="1">
      <c r="A279" s="6"/>
      <c r="B279" s="10"/>
      <c r="C279" s="74"/>
      <c r="D279" s="2"/>
      <c r="E279" s="135"/>
      <c r="F279" s="2"/>
      <c r="G279" s="105"/>
      <c r="H279" s="2"/>
      <c r="I279" s="25"/>
      <c r="J279" s="21"/>
      <c r="M279" s="29"/>
      <c r="N279" s="29"/>
      <c r="O279" s="29"/>
      <c r="Q279" s="89"/>
    </row>
    <row r="280" spans="1:17" s="5" customFormat="1">
      <c r="A280" s="6"/>
      <c r="B280" s="10"/>
      <c r="C280" s="192"/>
      <c r="D280" s="2"/>
      <c r="E280" s="133"/>
      <c r="F280" s="2"/>
      <c r="G280" s="105"/>
      <c r="H280" s="2"/>
      <c r="I280" s="25"/>
      <c r="J280" s="21"/>
      <c r="M280" s="29"/>
      <c r="N280" s="29"/>
      <c r="O280" s="29"/>
      <c r="Q280" s="89"/>
    </row>
    <row r="281" spans="1:17" s="5" customFormat="1">
      <c r="A281" s="6"/>
      <c r="B281" s="10"/>
      <c r="C281" s="2"/>
      <c r="D281" s="2"/>
      <c r="E281" s="133"/>
      <c r="F281" s="2"/>
      <c r="G281" s="94"/>
      <c r="H281" s="15"/>
      <c r="Q281" s="89"/>
    </row>
    <row r="282" spans="1:17" s="5" customFormat="1">
      <c r="A282" s="6"/>
      <c r="B282" s="10"/>
      <c r="C282" s="2"/>
      <c r="D282" s="2"/>
      <c r="E282" s="133"/>
      <c r="F282" s="2"/>
      <c r="G282" s="94"/>
      <c r="H282" s="15"/>
      <c r="Q282" s="89"/>
    </row>
    <row r="283" spans="1:17" s="5" customFormat="1">
      <c r="A283" s="6"/>
      <c r="B283" s="10"/>
      <c r="C283" s="4"/>
      <c r="D283" s="2"/>
      <c r="E283" s="135"/>
      <c r="F283" s="2"/>
      <c r="G283" s="94"/>
      <c r="H283" s="2"/>
      <c r="Q283" s="89"/>
    </row>
    <row r="284" spans="1:17" s="5" customFormat="1">
      <c r="A284" s="8"/>
      <c r="B284" s="14"/>
      <c r="C284" s="14"/>
      <c r="D284" s="193"/>
      <c r="E284" s="133"/>
      <c r="F284" s="193"/>
      <c r="G284" s="194"/>
      <c r="H284" s="193"/>
      <c r="I284" s="25"/>
      <c r="J284" s="21"/>
      <c r="M284" s="29"/>
      <c r="N284" s="29"/>
      <c r="O284" s="29"/>
      <c r="Q284" s="195"/>
    </row>
    <row r="285" spans="1:17" s="5" customFormat="1">
      <c r="A285" s="6"/>
      <c r="B285" s="10"/>
      <c r="C285" s="192"/>
      <c r="D285" s="2"/>
      <c r="E285" s="133"/>
      <c r="F285" s="2"/>
      <c r="G285" s="105"/>
      <c r="H285" s="15"/>
      <c r="I285" s="25"/>
      <c r="J285" s="21"/>
      <c r="M285" s="29"/>
      <c r="N285" s="29"/>
      <c r="O285" s="29"/>
      <c r="Q285" s="89"/>
    </row>
    <row r="286" spans="1:17" s="5" customFormat="1">
      <c r="A286" s="6"/>
      <c r="B286" s="10"/>
      <c r="C286" s="192"/>
      <c r="D286" s="2"/>
      <c r="E286" s="133"/>
      <c r="F286" s="2"/>
      <c r="G286" s="105"/>
      <c r="H286" s="15"/>
      <c r="I286" s="25"/>
      <c r="J286" s="21"/>
      <c r="M286" s="29"/>
      <c r="N286" s="29"/>
      <c r="O286" s="29"/>
      <c r="Q286" s="89"/>
    </row>
    <row r="287" spans="1:17" s="5" customFormat="1">
      <c r="A287" s="6"/>
      <c r="B287" s="10"/>
      <c r="C287" s="74"/>
      <c r="D287" s="2"/>
      <c r="E287" s="133"/>
      <c r="F287" s="2"/>
      <c r="G287" s="105"/>
      <c r="H287" s="2"/>
      <c r="I287" s="25"/>
      <c r="J287" s="21"/>
      <c r="M287" s="29"/>
      <c r="N287" s="29"/>
      <c r="O287" s="29"/>
      <c r="Q287" s="89"/>
    </row>
    <row r="288" spans="1:17" s="5" customFormat="1">
      <c r="A288" s="8"/>
      <c r="B288" s="14"/>
      <c r="C288" s="14"/>
      <c r="D288" s="193"/>
      <c r="E288" s="133"/>
      <c r="F288" s="193"/>
      <c r="G288" s="194"/>
      <c r="H288" s="193"/>
      <c r="I288" s="25"/>
      <c r="J288" s="196"/>
      <c r="M288" s="29"/>
      <c r="N288" s="29"/>
      <c r="O288" s="29"/>
      <c r="Q288" s="195"/>
    </row>
    <row r="289" spans="1:17" s="5" customFormat="1">
      <c r="A289" s="6"/>
      <c r="B289" s="10"/>
      <c r="C289" s="192"/>
      <c r="D289" s="2"/>
      <c r="E289" s="133"/>
      <c r="F289" s="2"/>
      <c r="G289" s="105"/>
      <c r="H289" s="15"/>
      <c r="I289" s="25"/>
      <c r="J289" s="21"/>
      <c r="M289" s="29"/>
      <c r="N289" s="29"/>
      <c r="O289" s="29"/>
      <c r="Q289" s="89"/>
    </row>
    <row r="290" spans="1:17" s="5" customFormat="1">
      <c r="A290" s="6"/>
      <c r="B290" s="10"/>
      <c r="C290" s="192"/>
      <c r="D290" s="2"/>
      <c r="E290" s="133"/>
      <c r="F290" s="2"/>
      <c r="G290" s="105"/>
      <c r="H290" s="15"/>
      <c r="I290" s="25"/>
      <c r="J290" s="21"/>
      <c r="M290" s="29"/>
      <c r="N290" s="29"/>
      <c r="O290" s="29"/>
      <c r="Q290" s="89"/>
    </row>
    <row r="291" spans="1:17" s="5" customFormat="1">
      <c r="A291" s="6"/>
      <c r="B291" s="10"/>
      <c r="C291" s="74"/>
      <c r="D291" s="2"/>
      <c r="E291" s="133"/>
      <c r="F291" s="2"/>
      <c r="G291" s="105"/>
      <c r="H291" s="2"/>
      <c r="I291" s="25"/>
      <c r="J291" s="21"/>
      <c r="M291" s="29"/>
      <c r="N291" s="29"/>
      <c r="O291" s="29"/>
      <c r="Q291" s="89"/>
    </row>
    <row r="292" spans="1:17" s="5" customFormat="1">
      <c r="A292" s="8"/>
      <c r="B292" s="14"/>
      <c r="C292" s="14"/>
      <c r="D292" s="193"/>
      <c r="E292" s="133"/>
      <c r="F292" s="193"/>
      <c r="G292" s="194"/>
      <c r="H292" s="193"/>
      <c r="I292" s="25"/>
      <c r="J292" s="21"/>
      <c r="M292" s="29"/>
      <c r="N292" s="29"/>
      <c r="O292" s="29"/>
      <c r="Q292" s="195"/>
    </row>
    <row r="293" spans="1:17" s="5" customFormat="1">
      <c r="A293" s="6"/>
      <c r="B293" s="10"/>
      <c r="C293" s="192"/>
      <c r="D293" s="2"/>
      <c r="E293" s="133"/>
      <c r="F293" s="2"/>
      <c r="G293" s="105"/>
      <c r="H293" s="15"/>
      <c r="I293" s="25"/>
      <c r="J293" s="21"/>
      <c r="M293" s="29"/>
      <c r="N293" s="29"/>
      <c r="O293" s="29"/>
      <c r="Q293" s="89"/>
    </row>
    <row r="294" spans="1:17" s="5" customFormat="1">
      <c r="A294" s="6"/>
      <c r="B294" s="10"/>
      <c r="C294" s="192"/>
      <c r="D294" s="2"/>
      <c r="E294" s="133"/>
      <c r="F294" s="2"/>
      <c r="G294" s="105"/>
      <c r="H294" s="15"/>
      <c r="I294" s="25"/>
      <c r="J294" s="21"/>
      <c r="M294" s="29"/>
      <c r="N294" s="29"/>
      <c r="O294" s="29"/>
      <c r="Q294" s="89"/>
    </row>
    <row r="295" spans="1:17" s="5" customFormat="1">
      <c r="A295" s="6"/>
      <c r="B295" s="10"/>
      <c r="C295" s="74"/>
      <c r="D295" s="2"/>
      <c r="E295" s="133"/>
      <c r="F295" s="2"/>
      <c r="G295" s="105"/>
      <c r="H295" s="2"/>
      <c r="I295" s="25"/>
      <c r="J295" s="21"/>
      <c r="M295" s="29"/>
      <c r="N295" s="29"/>
      <c r="O295" s="29"/>
      <c r="Q295" s="89"/>
    </row>
    <row r="296" spans="1:17" s="5" customFormat="1">
      <c r="A296" s="8"/>
      <c r="B296" s="14"/>
      <c r="C296" s="14"/>
      <c r="D296" s="193"/>
      <c r="E296" s="133"/>
      <c r="F296" s="193"/>
      <c r="G296" s="194"/>
      <c r="H296" s="193"/>
      <c r="I296" s="25"/>
      <c r="J296" s="21"/>
      <c r="M296" s="29"/>
      <c r="N296" s="29"/>
      <c r="O296" s="29"/>
      <c r="Q296" s="195"/>
    </row>
    <row r="297" spans="1:17" s="5" customFormat="1">
      <c r="A297" s="6"/>
      <c r="B297" s="10"/>
      <c r="C297" s="192"/>
      <c r="D297" s="2"/>
      <c r="E297" s="133"/>
      <c r="F297" s="2"/>
      <c r="G297" s="105"/>
      <c r="H297" s="15"/>
      <c r="I297" s="25"/>
      <c r="J297" s="21"/>
      <c r="M297" s="29"/>
      <c r="N297" s="29"/>
      <c r="O297" s="29"/>
      <c r="Q297" s="89"/>
    </row>
    <row r="298" spans="1:17" s="5" customFormat="1">
      <c r="A298" s="6"/>
      <c r="B298" s="10"/>
      <c r="C298" s="192"/>
      <c r="D298" s="2"/>
      <c r="E298" s="133"/>
      <c r="F298" s="2"/>
      <c r="G298" s="105"/>
      <c r="H298" s="15"/>
      <c r="I298" s="25"/>
      <c r="J298" s="21"/>
      <c r="M298" s="29"/>
      <c r="N298" s="29"/>
      <c r="O298" s="29"/>
      <c r="Q298" s="89"/>
    </row>
    <row r="299" spans="1:17" s="5" customFormat="1">
      <c r="A299" s="6"/>
      <c r="B299" s="10"/>
      <c r="C299" s="74"/>
      <c r="D299" s="2"/>
      <c r="E299" s="133"/>
      <c r="F299" s="2"/>
      <c r="G299" s="105"/>
      <c r="H299" s="2"/>
      <c r="I299" s="25"/>
      <c r="J299" s="21"/>
      <c r="M299" s="29"/>
      <c r="N299" s="29"/>
      <c r="O299" s="29"/>
      <c r="Q299" s="89"/>
    </row>
    <row r="300" spans="1:17" s="5" customFormat="1">
      <c r="A300" s="6"/>
      <c r="B300" s="10"/>
      <c r="C300" s="192"/>
      <c r="D300" s="2"/>
      <c r="E300" s="133"/>
      <c r="F300" s="2"/>
      <c r="G300" s="105"/>
      <c r="H300" s="15"/>
      <c r="I300" s="25"/>
      <c r="J300" s="21"/>
      <c r="M300" s="29"/>
      <c r="N300" s="29"/>
      <c r="O300" s="29"/>
      <c r="Q300" s="94"/>
    </row>
    <row r="301" spans="1:17" s="5" customFormat="1">
      <c r="A301" s="6"/>
      <c r="B301" s="10"/>
      <c r="C301" s="192"/>
      <c r="D301" s="2"/>
      <c r="E301" s="133"/>
      <c r="F301" s="2"/>
      <c r="G301" s="105"/>
      <c r="H301" s="15"/>
      <c r="Q301" s="89"/>
    </row>
    <row r="302" spans="1:17" s="5" customFormat="1">
      <c r="A302" s="6"/>
      <c r="B302" s="10"/>
      <c r="C302" s="192"/>
      <c r="D302" s="2"/>
      <c r="E302" s="133"/>
      <c r="F302" s="2"/>
      <c r="G302" s="105"/>
      <c r="H302" s="15"/>
      <c r="Q302" s="89"/>
    </row>
    <row r="303" spans="1:17" s="5" customFormat="1">
      <c r="A303" s="6"/>
      <c r="B303" s="10"/>
      <c r="C303" s="74"/>
      <c r="D303" s="2"/>
      <c r="E303" s="133"/>
      <c r="F303" s="2"/>
      <c r="G303" s="105"/>
      <c r="H303" s="2"/>
      <c r="Q303" s="89"/>
    </row>
    <row r="304" spans="1:17">
      <c r="B304" s="167"/>
      <c r="C304" s="173"/>
      <c r="H304" s="132"/>
    </row>
    <row r="305" spans="1:17" s="5" customFormat="1">
      <c r="A305" s="6"/>
      <c r="B305" s="10"/>
      <c r="C305" s="192"/>
      <c r="D305" s="2"/>
      <c r="E305" s="133"/>
      <c r="F305" s="2"/>
      <c r="G305" s="105"/>
      <c r="H305" s="15"/>
      <c r="I305" s="25"/>
      <c r="J305" s="21"/>
      <c r="M305" s="29"/>
      <c r="N305" s="29"/>
      <c r="O305" s="29"/>
      <c r="Q305" s="89"/>
    </row>
    <row r="306" spans="1:17" s="5" customFormat="1">
      <c r="A306" s="6"/>
      <c r="B306" s="10"/>
      <c r="C306" s="192"/>
      <c r="D306" s="2"/>
      <c r="E306" s="133"/>
      <c r="F306" s="2"/>
      <c r="G306" s="105"/>
      <c r="H306" s="15"/>
      <c r="I306" s="25"/>
      <c r="J306" s="21"/>
      <c r="M306" s="29"/>
      <c r="N306" s="29"/>
      <c r="O306" s="29"/>
      <c r="Q306" s="89"/>
    </row>
    <row r="307" spans="1:17" s="5" customFormat="1">
      <c r="A307" s="6"/>
      <c r="B307" s="10"/>
      <c r="C307" s="74"/>
      <c r="D307" s="2"/>
      <c r="E307" s="133"/>
      <c r="F307" s="2"/>
      <c r="G307" s="105"/>
      <c r="H307" s="2"/>
      <c r="I307" s="25"/>
      <c r="J307" s="21"/>
      <c r="M307" s="29"/>
      <c r="N307" s="29"/>
      <c r="O307" s="29"/>
      <c r="Q307" s="89"/>
    </row>
    <row r="308" spans="1:17" s="5" customFormat="1">
      <c r="A308" s="8"/>
      <c r="B308" s="14"/>
      <c r="C308" s="14"/>
      <c r="D308" s="193"/>
      <c r="E308" s="133"/>
      <c r="F308" s="193"/>
      <c r="G308" s="194"/>
      <c r="H308" s="193"/>
      <c r="I308" s="25"/>
      <c r="J308" s="21"/>
      <c r="M308" s="29"/>
      <c r="N308" s="29"/>
      <c r="O308" s="29"/>
      <c r="Q308" s="195"/>
    </row>
    <row r="309" spans="1:17" s="5" customFormat="1">
      <c r="A309" s="6"/>
      <c r="B309" s="10"/>
      <c r="C309" s="192"/>
      <c r="D309" s="2"/>
      <c r="E309" s="133"/>
      <c r="F309" s="2"/>
      <c r="G309" s="105"/>
      <c r="H309" s="15"/>
      <c r="I309" s="25"/>
      <c r="J309" s="21"/>
      <c r="M309" s="29"/>
      <c r="N309" s="29"/>
      <c r="O309" s="29"/>
      <c r="Q309" s="89"/>
    </row>
    <row r="310" spans="1:17" s="5" customFormat="1">
      <c r="A310" s="6"/>
      <c r="B310" s="10"/>
      <c r="C310" s="192"/>
      <c r="D310" s="2"/>
      <c r="E310" s="133"/>
      <c r="F310" s="2"/>
      <c r="G310" s="105"/>
      <c r="H310" s="15"/>
      <c r="I310" s="25"/>
      <c r="J310" s="21"/>
      <c r="M310" s="29"/>
      <c r="N310" s="29"/>
      <c r="O310" s="29"/>
      <c r="Q310" s="89"/>
    </row>
    <row r="311" spans="1:17" s="5" customFormat="1">
      <c r="A311" s="6"/>
      <c r="B311" s="10"/>
      <c r="C311" s="74"/>
      <c r="D311" s="2"/>
      <c r="E311" s="133"/>
      <c r="F311" s="2"/>
      <c r="G311" s="105"/>
      <c r="H311" s="2"/>
      <c r="I311" s="25"/>
      <c r="J311" s="21"/>
      <c r="M311" s="29"/>
      <c r="N311" s="29"/>
      <c r="O311" s="29"/>
      <c r="Q311" s="89"/>
    </row>
    <row r="312" spans="1:17" s="5" customFormat="1">
      <c r="A312" s="8"/>
      <c r="B312" s="14"/>
      <c r="C312" s="14"/>
      <c r="D312" s="193"/>
      <c r="E312" s="133"/>
      <c r="F312" s="193"/>
      <c r="G312" s="194"/>
      <c r="H312" s="193"/>
      <c r="I312" s="25"/>
      <c r="J312" s="21"/>
      <c r="M312" s="29"/>
      <c r="N312" s="29"/>
      <c r="O312" s="29"/>
      <c r="Q312" s="195"/>
    </row>
    <row r="313" spans="1:17" s="5" customFormat="1">
      <c r="A313" s="6"/>
      <c r="B313" s="10"/>
      <c r="C313" s="192"/>
      <c r="D313" s="2"/>
      <c r="E313" s="133"/>
      <c r="F313" s="2"/>
      <c r="G313" s="105"/>
      <c r="H313" s="15"/>
      <c r="I313" s="25"/>
      <c r="J313" s="21"/>
      <c r="M313" s="29"/>
      <c r="N313" s="29"/>
      <c r="O313" s="29"/>
      <c r="Q313" s="89"/>
    </row>
    <row r="314" spans="1:17" s="5" customFormat="1">
      <c r="A314" s="6"/>
      <c r="B314" s="10"/>
      <c r="C314" s="192"/>
      <c r="D314" s="2"/>
      <c r="E314" s="133"/>
      <c r="F314" s="2"/>
      <c r="G314" s="105"/>
      <c r="H314" s="15"/>
      <c r="I314" s="25"/>
      <c r="J314" s="21"/>
      <c r="M314" s="29"/>
      <c r="N314" s="29"/>
      <c r="O314" s="29"/>
      <c r="Q314" s="89"/>
    </row>
    <row r="315" spans="1:17" s="5" customFormat="1">
      <c r="A315" s="6"/>
      <c r="B315" s="10"/>
      <c r="C315" s="74"/>
      <c r="D315" s="2"/>
      <c r="E315" s="133"/>
      <c r="F315" s="2"/>
      <c r="G315" s="105"/>
      <c r="H315" s="2"/>
      <c r="I315" s="25"/>
      <c r="J315" s="21"/>
      <c r="M315" s="29"/>
      <c r="N315" s="29"/>
      <c r="O315" s="29"/>
      <c r="Q315" s="89"/>
    </row>
    <row r="316" spans="1:17" s="5" customFormat="1">
      <c r="A316" s="8"/>
      <c r="B316" s="14"/>
      <c r="C316" s="14"/>
      <c r="D316" s="193"/>
      <c r="E316" s="133"/>
      <c r="F316" s="193"/>
      <c r="G316" s="194"/>
      <c r="H316" s="193"/>
      <c r="I316" s="25"/>
      <c r="J316" s="21"/>
      <c r="M316" s="29"/>
      <c r="N316" s="29"/>
      <c r="O316" s="29"/>
      <c r="Q316" s="195"/>
    </row>
    <row r="317" spans="1:17" s="5" customFormat="1">
      <c r="A317" s="6"/>
      <c r="B317" s="10"/>
      <c r="C317" s="192"/>
      <c r="D317" s="2"/>
      <c r="E317" s="133"/>
      <c r="F317" s="2"/>
      <c r="G317" s="105"/>
      <c r="H317" s="15"/>
      <c r="I317" s="25"/>
      <c r="J317" s="21"/>
      <c r="M317" s="29"/>
      <c r="N317" s="29"/>
      <c r="O317" s="29"/>
      <c r="Q317" s="89"/>
    </row>
    <row r="318" spans="1:17" s="5" customFormat="1">
      <c r="A318" s="6"/>
      <c r="B318" s="10"/>
      <c r="C318" s="192"/>
      <c r="D318" s="2"/>
      <c r="E318" s="133"/>
      <c r="F318" s="2"/>
      <c r="G318" s="105"/>
      <c r="H318" s="15"/>
      <c r="I318" s="25"/>
      <c r="J318" s="21"/>
      <c r="M318" s="29"/>
      <c r="N318" s="29"/>
      <c r="O318" s="29"/>
      <c r="Q318" s="89"/>
    </row>
    <row r="319" spans="1:17" s="5" customFormat="1">
      <c r="A319" s="6"/>
      <c r="B319" s="10"/>
      <c r="C319" s="74"/>
      <c r="D319" s="2"/>
      <c r="E319" s="133"/>
      <c r="F319" s="2"/>
      <c r="G319" s="105"/>
      <c r="H319" s="2"/>
      <c r="I319" s="25"/>
      <c r="J319" s="21"/>
      <c r="M319" s="29"/>
      <c r="N319" s="29"/>
      <c r="O319" s="29"/>
      <c r="Q319" s="89"/>
    </row>
    <row r="320" spans="1:17">
      <c r="B320" s="167"/>
      <c r="H320" s="175"/>
      <c r="I320" s="136"/>
      <c r="J320" s="136"/>
      <c r="M320" s="136"/>
      <c r="N320" s="136"/>
      <c r="O320" s="136"/>
    </row>
    <row r="321" spans="1:17">
      <c r="B321" s="167"/>
      <c r="H321" s="175"/>
      <c r="I321" s="136"/>
      <c r="J321" s="136"/>
      <c r="M321" s="136"/>
      <c r="N321" s="136"/>
      <c r="O321" s="136"/>
    </row>
    <row r="322" spans="1:17">
      <c r="B322" s="167"/>
      <c r="H322" s="175"/>
      <c r="I322" s="136"/>
      <c r="J322" s="136"/>
      <c r="M322" s="136"/>
      <c r="N322" s="136"/>
      <c r="O322" s="136"/>
    </row>
    <row r="323" spans="1:17">
      <c r="B323" s="167"/>
      <c r="C323" s="173"/>
      <c r="E323" s="135"/>
      <c r="H323" s="132"/>
      <c r="I323" s="136"/>
      <c r="J323" s="136"/>
      <c r="M323" s="136"/>
      <c r="N323" s="136"/>
      <c r="O323" s="136"/>
    </row>
    <row r="324" spans="1:17">
      <c r="B324" s="167"/>
      <c r="C324" s="173"/>
      <c r="H324" s="132"/>
      <c r="I324" s="136"/>
      <c r="J324" s="136"/>
      <c r="M324" s="136"/>
      <c r="N324" s="136"/>
      <c r="O324" s="136"/>
    </row>
    <row r="325" spans="1:17" s="5" customFormat="1">
      <c r="A325" s="6"/>
      <c r="B325" s="10"/>
      <c r="C325" s="192"/>
      <c r="D325" s="2"/>
      <c r="E325" s="133"/>
      <c r="F325" s="2"/>
      <c r="G325" s="105"/>
      <c r="H325" s="15"/>
      <c r="I325" s="25"/>
      <c r="J325" s="21"/>
      <c r="M325" s="29"/>
      <c r="N325" s="29"/>
      <c r="O325" s="29"/>
      <c r="Q325" s="89"/>
    </row>
    <row r="326" spans="1:17" s="5" customFormat="1">
      <c r="A326" s="6"/>
      <c r="B326" s="10"/>
      <c r="C326" s="192"/>
      <c r="D326" s="2"/>
      <c r="E326" s="133"/>
      <c r="F326" s="2"/>
      <c r="G326" s="105"/>
      <c r="H326" s="15"/>
      <c r="I326" s="25"/>
      <c r="J326" s="21"/>
      <c r="M326" s="29"/>
      <c r="N326" s="29"/>
      <c r="O326" s="29"/>
      <c r="Q326" s="89"/>
    </row>
    <row r="327" spans="1:17" s="5" customFormat="1">
      <c r="A327" s="6"/>
      <c r="B327" s="10"/>
      <c r="C327" s="74"/>
      <c r="D327" s="2"/>
      <c r="E327" s="133"/>
      <c r="F327" s="2"/>
      <c r="G327" s="105"/>
      <c r="H327" s="2"/>
      <c r="I327" s="25"/>
      <c r="J327" s="21"/>
      <c r="M327" s="29"/>
      <c r="N327" s="29"/>
      <c r="O327" s="29"/>
      <c r="Q327" s="89"/>
    </row>
    <row r="328" spans="1:17" s="5" customFormat="1">
      <c r="A328" s="6"/>
      <c r="B328" s="10"/>
      <c r="C328" s="74"/>
      <c r="D328" s="2"/>
      <c r="E328" s="133"/>
      <c r="F328" s="2"/>
      <c r="G328" s="105"/>
      <c r="H328" s="2"/>
      <c r="I328" s="25"/>
      <c r="J328" s="21"/>
      <c r="M328" s="29"/>
      <c r="N328" s="29"/>
      <c r="O328" s="29"/>
      <c r="Q328" s="89"/>
    </row>
    <row r="329" spans="1:17" s="5" customFormat="1">
      <c r="A329" s="6"/>
      <c r="B329" s="10"/>
      <c r="C329" s="192"/>
      <c r="D329" s="2"/>
      <c r="E329" s="133"/>
      <c r="F329" s="2"/>
      <c r="G329" s="105"/>
      <c r="H329" s="15"/>
      <c r="I329" s="25"/>
      <c r="J329" s="21"/>
      <c r="K329" s="189"/>
      <c r="M329" s="29"/>
      <c r="N329" s="29"/>
      <c r="O329" s="29"/>
      <c r="Q329" s="89"/>
    </row>
    <row r="330" spans="1:17" s="5" customFormat="1">
      <c r="A330" s="6"/>
      <c r="B330" s="10"/>
      <c r="C330" s="192"/>
      <c r="D330" s="2"/>
      <c r="E330" s="133"/>
      <c r="F330" s="2"/>
      <c r="G330" s="105"/>
      <c r="H330" s="15"/>
      <c r="I330" s="25"/>
      <c r="J330" s="21"/>
      <c r="M330" s="29"/>
      <c r="N330" s="29"/>
      <c r="O330" s="29"/>
      <c r="Q330" s="89"/>
    </row>
    <row r="331" spans="1:17" s="5" customFormat="1">
      <c r="A331" s="6"/>
      <c r="B331" s="10"/>
      <c r="C331" s="74"/>
      <c r="D331" s="2"/>
      <c r="E331" s="135"/>
      <c r="F331" s="2"/>
      <c r="G331" s="105"/>
      <c r="H331" s="2"/>
      <c r="I331" s="25"/>
      <c r="J331" s="21"/>
      <c r="M331" s="29"/>
      <c r="N331" s="29"/>
      <c r="O331" s="29"/>
      <c r="Q331" s="89"/>
    </row>
    <row r="332" spans="1:17" s="5" customFormat="1">
      <c r="A332" s="6"/>
      <c r="B332" s="10"/>
      <c r="C332" s="74"/>
      <c r="D332" s="2"/>
      <c r="E332" s="133"/>
      <c r="F332" s="2"/>
      <c r="G332" s="105"/>
      <c r="H332" s="2"/>
      <c r="I332" s="25"/>
      <c r="J332" s="21"/>
      <c r="M332" s="29"/>
      <c r="N332" s="29"/>
      <c r="O332" s="29"/>
      <c r="Q332" s="89"/>
    </row>
    <row r="333" spans="1:17" s="5" customFormat="1">
      <c r="A333" s="6"/>
      <c r="B333" s="10"/>
      <c r="C333" s="192"/>
      <c r="D333" s="2"/>
      <c r="E333" s="133"/>
      <c r="F333" s="2"/>
      <c r="G333" s="105"/>
      <c r="H333" s="15"/>
      <c r="I333" s="25"/>
      <c r="J333" s="21"/>
      <c r="M333" s="29"/>
      <c r="N333" s="29"/>
      <c r="O333" s="29"/>
      <c r="Q333" s="89"/>
    </row>
    <row r="334" spans="1:17" s="5" customFormat="1">
      <c r="A334" s="6"/>
      <c r="B334" s="10"/>
      <c r="C334" s="192"/>
      <c r="D334" s="2"/>
      <c r="E334" s="133"/>
      <c r="F334" s="2"/>
      <c r="G334" s="105"/>
      <c r="H334" s="15"/>
      <c r="I334" s="25"/>
      <c r="J334" s="21"/>
      <c r="M334" s="29"/>
      <c r="N334" s="29"/>
      <c r="O334" s="29"/>
      <c r="Q334" s="89"/>
    </row>
    <row r="335" spans="1:17" s="5" customFormat="1">
      <c r="A335" s="6"/>
      <c r="B335" s="10"/>
      <c r="C335" s="74"/>
      <c r="D335" s="2"/>
      <c r="E335" s="135"/>
      <c r="F335" s="2"/>
      <c r="G335" s="105"/>
      <c r="H335" s="2"/>
      <c r="I335" s="25"/>
      <c r="J335" s="21"/>
      <c r="M335" s="29"/>
      <c r="N335" s="29"/>
      <c r="O335" s="29"/>
      <c r="Q335" s="89"/>
    </row>
    <row r="336" spans="1:17" s="5" customFormat="1">
      <c r="A336" s="6"/>
      <c r="B336" s="10"/>
      <c r="C336" s="74"/>
      <c r="D336" s="2"/>
      <c r="E336" s="133"/>
      <c r="F336" s="2"/>
      <c r="G336" s="105"/>
      <c r="H336" s="2"/>
      <c r="I336" s="25"/>
      <c r="J336" s="21"/>
      <c r="M336" s="29"/>
      <c r="N336" s="29"/>
      <c r="O336" s="29"/>
      <c r="Q336" s="89"/>
    </row>
    <row r="337" spans="1:17" s="5" customFormat="1">
      <c r="A337" s="6"/>
      <c r="B337" s="10"/>
      <c r="C337" s="192"/>
      <c r="D337" s="2"/>
      <c r="E337" s="133"/>
      <c r="F337" s="2"/>
      <c r="G337" s="105"/>
      <c r="H337" s="15"/>
      <c r="I337" s="25"/>
      <c r="J337" s="21"/>
      <c r="K337" s="189"/>
      <c r="M337" s="29"/>
      <c r="N337" s="29"/>
      <c r="O337" s="29"/>
      <c r="Q337" s="89"/>
    </row>
    <row r="338" spans="1:17" s="5" customFormat="1">
      <c r="A338" s="6"/>
      <c r="B338" s="10"/>
      <c r="C338" s="192"/>
      <c r="D338" s="2"/>
      <c r="E338" s="133"/>
      <c r="F338" s="2"/>
      <c r="G338" s="105"/>
      <c r="H338" s="15"/>
      <c r="I338" s="25"/>
      <c r="J338" s="21"/>
      <c r="M338" s="29"/>
      <c r="N338" s="29"/>
      <c r="O338" s="29"/>
      <c r="Q338" s="89"/>
    </row>
    <row r="339" spans="1:17" s="5" customFormat="1">
      <c r="A339" s="6"/>
      <c r="B339" s="10"/>
      <c r="C339" s="74"/>
      <c r="D339" s="2"/>
      <c r="E339" s="135"/>
      <c r="F339" s="2"/>
      <c r="G339" s="105"/>
      <c r="H339" s="2"/>
      <c r="I339" s="25"/>
      <c r="J339" s="21"/>
      <c r="M339" s="29"/>
      <c r="N339" s="29"/>
      <c r="O339" s="29"/>
      <c r="Q339" s="89"/>
    </row>
    <row r="340" spans="1:17">
      <c r="B340" s="167"/>
      <c r="C340" s="180"/>
      <c r="H340" s="175"/>
    </row>
    <row r="341" spans="1:17" ht="57" customHeight="1">
      <c r="B341" s="167"/>
      <c r="H341" s="175"/>
      <c r="I341" s="136"/>
      <c r="J341" s="136"/>
      <c r="M341" s="136"/>
      <c r="N341" s="136"/>
      <c r="O341" s="136"/>
    </row>
    <row r="342" spans="1:17">
      <c r="B342" s="167"/>
      <c r="H342" s="175"/>
      <c r="I342" s="136"/>
      <c r="J342" s="136"/>
      <c r="M342" s="136"/>
      <c r="N342" s="136"/>
      <c r="O342" s="136"/>
    </row>
    <row r="343" spans="1:17">
      <c r="B343" s="167"/>
      <c r="C343" s="173"/>
      <c r="E343" s="135"/>
      <c r="H343" s="132"/>
      <c r="I343" s="136"/>
      <c r="J343" s="136"/>
      <c r="M343" s="136"/>
      <c r="N343" s="136"/>
      <c r="O343" s="136"/>
    </row>
    <row r="344" spans="1:17">
      <c r="B344" s="167"/>
      <c r="C344" s="173"/>
      <c r="H344" s="132"/>
      <c r="I344" s="136"/>
      <c r="J344" s="136"/>
      <c r="M344" s="136"/>
      <c r="N344" s="136"/>
      <c r="O344" s="136"/>
    </row>
    <row r="345" spans="1:17" s="5" customFormat="1">
      <c r="A345" s="6"/>
      <c r="B345" s="10"/>
      <c r="C345" s="2"/>
      <c r="D345" s="2"/>
      <c r="E345" s="133"/>
      <c r="F345" s="2"/>
      <c r="G345" s="105"/>
      <c r="H345" s="15"/>
      <c r="I345" s="25"/>
      <c r="J345" s="21"/>
      <c r="M345" s="29"/>
      <c r="N345" s="29"/>
      <c r="O345" s="29"/>
      <c r="Q345" s="89"/>
    </row>
    <row r="346" spans="1:17" s="5" customFormat="1">
      <c r="A346" s="6"/>
      <c r="B346" s="10"/>
      <c r="C346" s="2"/>
      <c r="D346" s="2"/>
      <c r="E346" s="133"/>
      <c r="F346" s="2"/>
      <c r="G346" s="105"/>
      <c r="H346" s="15"/>
      <c r="I346" s="25"/>
      <c r="J346" s="21"/>
      <c r="M346" s="29"/>
      <c r="N346" s="29"/>
      <c r="O346" s="29"/>
      <c r="Q346" s="89"/>
    </row>
    <row r="347" spans="1:17" s="5" customFormat="1">
      <c r="A347" s="6"/>
      <c r="B347" s="10"/>
      <c r="C347" s="4"/>
      <c r="D347" s="2"/>
      <c r="E347" s="133"/>
      <c r="F347" s="2"/>
      <c r="G347" s="105"/>
      <c r="H347" s="2"/>
      <c r="I347" s="25"/>
      <c r="J347" s="21"/>
      <c r="M347" s="29"/>
      <c r="N347" s="29"/>
      <c r="O347" s="29"/>
      <c r="Q347" s="89"/>
    </row>
    <row r="348" spans="1:17" s="5" customFormat="1">
      <c r="A348" s="6"/>
      <c r="B348" s="10"/>
      <c r="C348" s="4"/>
      <c r="D348" s="2"/>
      <c r="E348" s="133"/>
      <c r="F348" s="2"/>
      <c r="G348" s="105"/>
      <c r="H348" s="2"/>
      <c r="I348" s="25"/>
      <c r="J348" s="21"/>
      <c r="M348" s="29"/>
      <c r="N348" s="29"/>
      <c r="O348" s="29"/>
      <c r="Q348" s="89"/>
    </row>
    <row r="349" spans="1:17" s="5" customFormat="1" ht="105.95" customHeight="1">
      <c r="A349" s="6"/>
      <c r="B349" s="10"/>
      <c r="C349" s="192"/>
      <c r="D349" s="2"/>
      <c r="E349" s="133"/>
      <c r="F349" s="2"/>
      <c r="G349" s="105"/>
      <c r="H349" s="15"/>
      <c r="I349" s="25"/>
      <c r="J349" s="21"/>
      <c r="M349" s="29"/>
      <c r="N349" s="29"/>
      <c r="O349" s="29"/>
      <c r="Q349" s="89"/>
    </row>
    <row r="350" spans="1:17" s="5" customFormat="1">
      <c r="A350" s="6"/>
      <c r="B350" s="10"/>
      <c r="C350" s="192"/>
      <c r="D350" s="2"/>
      <c r="E350" s="133"/>
      <c r="F350" s="2"/>
      <c r="G350" s="105"/>
      <c r="H350" s="15"/>
      <c r="I350" s="25"/>
      <c r="J350" s="21"/>
      <c r="M350" s="29"/>
      <c r="N350" s="29"/>
      <c r="O350" s="29"/>
      <c r="Q350" s="89"/>
    </row>
    <row r="351" spans="1:17" s="5" customFormat="1">
      <c r="A351" s="6"/>
      <c r="B351" s="10"/>
      <c r="C351" s="74"/>
      <c r="D351" s="2"/>
      <c r="E351" s="133"/>
      <c r="F351" s="2"/>
      <c r="G351" s="105"/>
      <c r="H351" s="2"/>
      <c r="I351" s="25"/>
      <c r="J351" s="21"/>
      <c r="M351" s="29"/>
      <c r="N351" s="29"/>
      <c r="O351" s="29"/>
      <c r="Q351" s="89"/>
    </row>
    <row r="352" spans="1:17" s="5" customFormat="1">
      <c r="A352" s="6"/>
      <c r="B352" s="10"/>
      <c r="C352" s="2"/>
      <c r="D352" s="2"/>
      <c r="E352" s="133"/>
      <c r="F352" s="2"/>
      <c r="G352" s="105"/>
      <c r="H352" s="2"/>
      <c r="I352" s="25"/>
      <c r="J352" s="21"/>
      <c r="M352" s="29"/>
      <c r="N352" s="29"/>
      <c r="O352" s="29"/>
      <c r="Q352" s="89"/>
    </row>
    <row r="353" spans="1:17" s="5" customFormat="1" ht="125.25" customHeight="1">
      <c r="A353" s="6"/>
      <c r="B353" s="10"/>
      <c r="C353" s="192"/>
      <c r="D353" s="2"/>
      <c r="E353" s="133"/>
      <c r="F353" s="2"/>
      <c r="G353" s="105"/>
      <c r="H353" s="15"/>
      <c r="I353" s="25"/>
      <c r="J353" s="21"/>
      <c r="M353" s="29"/>
      <c r="N353" s="29"/>
      <c r="O353" s="29"/>
      <c r="Q353" s="89"/>
    </row>
    <row r="354" spans="1:17" s="5" customFormat="1">
      <c r="A354" s="6"/>
      <c r="B354" s="10"/>
      <c r="C354" s="192"/>
      <c r="D354" s="2"/>
      <c r="E354" s="133"/>
      <c r="F354" s="2"/>
      <c r="G354" s="105"/>
      <c r="H354" s="15"/>
      <c r="I354" s="25"/>
      <c r="J354" s="21"/>
      <c r="M354" s="29"/>
      <c r="N354" s="29"/>
      <c r="O354" s="29"/>
      <c r="Q354" s="89"/>
    </row>
    <row r="355" spans="1:17" s="5" customFormat="1">
      <c r="A355" s="6"/>
      <c r="B355" s="10"/>
      <c r="C355" s="74"/>
      <c r="D355" s="2"/>
      <c r="E355" s="133"/>
      <c r="F355" s="2"/>
      <c r="G355" s="105"/>
      <c r="H355" s="2"/>
      <c r="I355" s="25"/>
      <c r="J355" s="21"/>
      <c r="M355" s="29"/>
      <c r="N355" s="29"/>
      <c r="O355" s="29"/>
      <c r="Q355" s="89"/>
    </row>
    <row r="356" spans="1:17" s="5" customFormat="1">
      <c r="A356" s="6"/>
      <c r="B356" s="10"/>
      <c r="C356" s="74"/>
      <c r="D356" s="2"/>
      <c r="E356" s="133"/>
      <c r="F356" s="2"/>
      <c r="G356" s="105"/>
      <c r="H356" s="2"/>
      <c r="I356" s="25"/>
      <c r="J356" s="21"/>
      <c r="M356" s="29"/>
      <c r="N356" s="29"/>
      <c r="O356" s="29"/>
      <c r="Q356" s="89"/>
    </row>
    <row r="357" spans="1:17" s="5" customFormat="1" ht="125.25" customHeight="1">
      <c r="A357" s="6"/>
      <c r="B357" s="10"/>
      <c r="C357" s="192"/>
      <c r="D357" s="2"/>
      <c r="E357" s="133"/>
      <c r="F357" s="2"/>
      <c r="G357" s="105"/>
      <c r="H357" s="15"/>
      <c r="I357" s="25"/>
      <c r="J357" s="21"/>
      <c r="M357" s="29"/>
      <c r="N357" s="29"/>
      <c r="O357" s="29"/>
      <c r="Q357" s="89"/>
    </row>
    <row r="358" spans="1:17" s="5" customFormat="1">
      <c r="A358" s="6"/>
      <c r="B358" s="10"/>
      <c r="C358" s="192"/>
      <c r="D358" s="2"/>
      <c r="E358" s="133"/>
      <c r="F358" s="2"/>
      <c r="G358" s="105"/>
      <c r="H358" s="15"/>
      <c r="I358" s="25"/>
      <c r="J358" s="21"/>
      <c r="M358" s="29"/>
      <c r="N358" s="29"/>
      <c r="O358" s="29"/>
      <c r="Q358" s="89"/>
    </row>
    <row r="359" spans="1:17" s="5" customFormat="1">
      <c r="A359" s="6"/>
      <c r="B359" s="10"/>
      <c r="C359" s="74"/>
      <c r="D359" s="2"/>
      <c r="E359" s="133"/>
      <c r="F359" s="2"/>
      <c r="G359" s="105"/>
      <c r="H359" s="2"/>
      <c r="I359" s="25"/>
      <c r="J359" s="21"/>
      <c r="M359" s="29"/>
      <c r="N359" s="29"/>
      <c r="O359" s="29"/>
      <c r="Q359" s="89"/>
    </row>
    <row r="360" spans="1:17" s="5" customFormat="1">
      <c r="A360" s="6"/>
      <c r="B360" s="10"/>
      <c r="C360" s="74"/>
      <c r="D360" s="2"/>
      <c r="E360" s="133"/>
      <c r="F360" s="2"/>
      <c r="G360" s="105"/>
      <c r="H360" s="2"/>
      <c r="I360" s="25"/>
      <c r="J360" s="21"/>
      <c r="M360" s="29"/>
      <c r="N360" s="29"/>
      <c r="O360" s="29"/>
      <c r="Q360" s="89"/>
    </row>
    <row r="361" spans="1:17" s="5" customFormat="1" ht="123.95" customHeight="1">
      <c r="A361" s="6"/>
      <c r="B361" s="10"/>
      <c r="C361" s="192"/>
      <c r="D361" s="2"/>
      <c r="E361" s="133"/>
      <c r="F361" s="2"/>
      <c r="G361" s="105"/>
      <c r="H361" s="15"/>
      <c r="I361" s="25"/>
      <c r="J361" s="21"/>
      <c r="M361" s="29"/>
      <c r="N361" s="29"/>
      <c r="O361" s="29"/>
      <c r="Q361" s="89"/>
    </row>
    <row r="362" spans="1:17" s="5" customFormat="1">
      <c r="A362" s="6"/>
      <c r="B362" s="10"/>
      <c r="C362" s="192"/>
      <c r="D362" s="2"/>
      <c r="E362" s="133"/>
      <c r="F362" s="2"/>
      <c r="G362" s="105"/>
      <c r="H362" s="15"/>
      <c r="I362" s="25"/>
      <c r="J362" s="21"/>
      <c r="M362" s="29"/>
      <c r="N362" s="29"/>
      <c r="O362" s="29"/>
      <c r="Q362" s="89"/>
    </row>
    <row r="363" spans="1:17" s="5" customFormat="1">
      <c r="A363" s="6"/>
      <c r="B363" s="10"/>
      <c r="C363" s="74"/>
      <c r="D363" s="2"/>
      <c r="E363" s="133"/>
      <c r="F363" s="2"/>
      <c r="G363" s="105"/>
      <c r="H363" s="2"/>
      <c r="I363" s="25"/>
      <c r="J363" s="21"/>
      <c r="M363" s="29"/>
      <c r="N363" s="29"/>
      <c r="O363" s="29"/>
      <c r="Q363" s="89"/>
    </row>
    <row r="364" spans="1:17" s="5" customFormat="1">
      <c r="A364" s="6"/>
      <c r="B364" s="10"/>
      <c r="C364" s="74"/>
      <c r="D364" s="2"/>
      <c r="E364" s="133"/>
      <c r="F364" s="2"/>
      <c r="G364" s="105"/>
      <c r="H364" s="2"/>
      <c r="I364" s="25"/>
      <c r="J364" s="21"/>
      <c r="M364" s="29"/>
      <c r="N364" s="29"/>
      <c r="O364" s="29"/>
      <c r="Q364" s="89"/>
    </row>
    <row r="365" spans="1:17" s="5" customFormat="1" ht="125.25" customHeight="1">
      <c r="A365" s="6"/>
      <c r="B365" s="10"/>
      <c r="C365" s="192"/>
      <c r="D365" s="2"/>
      <c r="E365" s="133"/>
      <c r="F365" s="2"/>
      <c r="G365" s="105"/>
      <c r="H365" s="15"/>
      <c r="I365" s="25"/>
      <c r="J365" s="21"/>
      <c r="M365" s="29"/>
      <c r="N365" s="29"/>
      <c r="O365" s="29"/>
      <c r="Q365" s="89"/>
    </row>
    <row r="366" spans="1:17" s="5" customFormat="1">
      <c r="A366" s="6"/>
      <c r="B366" s="10"/>
      <c r="C366" s="192"/>
      <c r="D366" s="2"/>
      <c r="E366" s="133"/>
      <c r="F366" s="2"/>
      <c r="G366" s="105"/>
      <c r="H366" s="15"/>
      <c r="I366" s="25"/>
      <c r="J366" s="21"/>
      <c r="M366" s="29"/>
      <c r="N366" s="29"/>
      <c r="O366" s="29"/>
      <c r="Q366" s="89"/>
    </row>
    <row r="367" spans="1:17" s="5" customFormat="1">
      <c r="A367" s="6"/>
      <c r="B367" s="10"/>
      <c r="C367" s="74"/>
      <c r="D367" s="2"/>
      <c r="E367" s="133"/>
      <c r="F367" s="2"/>
      <c r="G367" s="105"/>
      <c r="H367" s="2"/>
      <c r="I367" s="25"/>
      <c r="J367" s="21"/>
      <c r="M367" s="29"/>
      <c r="N367" s="29"/>
      <c r="O367" s="29"/>
      <c r="Q367" s="89"/>
    </row>
    <row r="368" spans="1:17" s="5" customFormat="1">
      <c r="A368" s="6"/>
      <c r="B368" s="10"/>
      <c r="C368" s="74"/>
      <c r="D368" s="2"/>
      <c r="E368" s="133"/>
      <c r="F368" s="2"/>
      <c r="G368" s="105"/>
      <c r="H368" s="2"/>
      <c r="I368" s="25"/>
      <c r="J368" s="21"/>
      <c r="M368" s="29"/>
      <c r="N368" s="29"/>
      <c r="O368" s="29"/>
      <c r="Q368" s="89"/>
    </row>
    <row r="369" spans="1:17" s="5" customFormat="1" ht="123" customHeight="1">
      <c r="A369" s="6"/>
      <c r="B369" s="10"/>
      <c r="C369" s="192"/>
      <c r="D369" s="2"/>
      <c r="E369" s="133"/>
      <c r="F369" s="2"/>
      <c r="G369" s="105"/>
      <c r="H369" s="15"/>
      <c r="I369" s="25"/>
      <c r="J369" s="21"/>
      <c r="M369" s="29"/>
      <c r="N369" s="29"/>
      <c r="O369" s="29"/>
      <c r="Q369" s="89"/>
    </row>
    <row r="370" spans="1:17" s="5" customFormat="1">
      <c r="A370" s="6"/>
      <c r="B370" s="10"/>
      <c r="C370" s="192"/>
      <c r="D370" s="2"/>
      <c r="E370" s="133"/>
      <c r="F370" s="2"/>
      <c r="G370" s="105"/>
      <c r="H370" s="15"/>
      <c r="I370" s="25"/>
      <c r="J370" s="21"/>
      <c r="M370" s="29"/>
      <c r="N370" s="29"/>
      <c r="O370" s="29"/>
      <c r="Q370" s="89"/>
    </row>
    <row r="371" spans="1:17" s="5" customFormat="1">
      <c r="A371" s="6"/>
      <c r="B371" s="10"/>
      <c r="C371" s="74"/>
      <c r="D371" s="2"/>
      <c r="E371" s="133"/>
      <c r="F371" s="2"/>
      <c r="G371" s="105"/>
      <c r="H371" s="2"/>
      <c r="I371" s="25"/>
      <c r="J371" s="21"/>
      <c r="M371" s="29"/>
      <c r="N371" s="29"/>
      <c r="O371" s="29"/>
      <c r="Q371" s="89"/>
    </row>
    <row r="372" spans="1:17" s="5" customFormat="1">
      <c r="A372" s="6"/>
      <c r="B372" s="10"/>
      <c r="C372" s="74"/>
      <c r="D372" s="2"/>
      <c r="E372" s="133"/>
      <c r="F372" s="2"/>
      <c r="G372" s="105"/>
      <c r="H372" s="2"/>
      <c r="I372" s="25"/>
      <c r="J372" s="21"/>
      <c r="M372" s="29"/>
      <c r="N372" s="29"/>
      <c r="O372" s="29"/>
      <c r="Q372" s="89"/>
    </row>
    <row r="373" spans="1:17" s="5" customFormat="1" ht="119.25" customHeight="1">
      <c r="A373" s="6"/>
      <c r="B373" s="10"/>
      <c r="C373" s="192"/>
      <c r="D373" s="2"/>
      <c r="E373" s="133"/>
      <c r="F373" s="2"/>
      <c r="G373" s="105"/>
      <c r="H373" s="15"/>
      <c r="I373" s="25"/>
      <c r="J373" s="21"/>
      <c r="M373" s="29"/>
      <c r="N373" s="29"/>
      <c r="O373" s="29"/>
      <c r="Q373" s="89"/>
    </row>
    <row r="374" spans="1:17" s="5" customFormat="1">
      <c r="A374" s="6"/>
      <c r="B374" s="10"/>
      <c r="C374" s="192"/>
      <c r="D374" s="2"/>
      <c r="E374" s="133"/>
      <c r="F374" s="2"/>
      <c r="G374" s="105"/>
      <c r="H374" s="15"/>
      <c r="I374" s="25"/>
      <c r="J374" s="21"/>
      <c r="M374" s="29"/>
      <c r="N374" s="29"/>
      <c r="O374" s="29"/>
      <c r="Q374" s="89"/>
    </row>
    <row r="375" spans="1:17" s="5" customFormat="1">
      <c r="A375" s="6"/>
      <c r="B375" s="10"/>
      <c r="C375" s="74"/>
      <c r="D375" s="2"/>
      <c r="E375" s="133"/>
      <c r="F375" s="2"/>
      <c r="G375" s="105"/>
      <c r="H375" s="2"/>
      <c r="I375" s="25"/>
      <c r="J375" s="21"/>
      <c r="M375" s="29"/>
      <c r="N375" s="29"/>
      <c r="O375" s="29"/>
      <c r="Q375" s="89"/>
    </row>
    <row r="376" spans="1:17" s="5" customFormat="1">
      <c r="A376" s="6"/>
      <c r="B376" s="10"/>
      <c r="C376" s="192"/>
      <c r="D376" s="2"/>
      <c r="E376" s="133"/>
      <c r="F376" s="2"/>
      <c r="G376" s="105"/>
      <c r="H376" s="2"/>
      <c r="I376" s="25"/>
      <c r="J376" s="21"/>
      <c r="M376" s="29"/>
      <c r="N376" s="29"/>
      <c r="O376" s="29"/>
      <c r="Q376" s="89"/>
    </row>
    <row r="377" spans="1:17" s="5" customFormat="1" ht="100.5" customHeight="1">
      <c r="A377" s="6"/>
      <c r="B377" s="10"/>
      <c r="C377" s="192"/>
      <c r="D377" s="2"/>
      <c r="E377" s="133"/>
      <c r="F377" s="2"/>
      <c r="G377" s="105"/>
      <c r="H377" s="15"/>
      <c r="I377" s="25"/>
      <c r="J377" s="21"/>
      <c r="M377" s="29"/>
      <c r="N377" s="29"/>
      <c r="O377" s="29"/>
      <c r="Q377" s="89"/>
    </row>
    <row r="378" spans="1:17" s="5" customFormat="1">
      <c r="A378" s="6"/>
      <c r="B378" s="10"/>
      <c r="C378" s="192"/>
      <c r="D378" s="2"/>
      <c r="E378" s="133"/>
      <c r="F378" s="2"/>
      <c r="G378" s="105"/>
      <c r="H378" s="15"/>
      <c r="I378" s="25"/>
      <c r="J378" s="21"/>
      <c r="M378" s="29"/>
      <c r="N378" s="29"/>
      <c r="O378" s="29"/>
      <c r="Q378" s="89"/>
    </row>
    <row r="379" spans="1:17" s="5" customFormat="1">
      <c r="A379" s="6"/>
      <c r="B379" s="10"/>
      <c r="C379" s="74"/>
      <c r="D379" s="2"/>
      <c r="E379" s="133"/>
      <c r="F379" s="2"/>
      <c r="G379" s="105"/>
      <c r="H379" s="2"/>
      <c r="I379" s="25"/>
      <c r="J379" s="21"/>
      <c r="M379" s="29"/>
      <c r="N379" s="29"/>
      <c r="O379" s="29"/>
      <c r="Q379" s="89"/>
    </row>
    <row r="380" spans="1:17" s="5" customFormat="1">
      <c r="A380" s="6"/>
      <c r="B380" s="10"/>
      <c r="C380" s="2"/>
      <c r="D380" s="2"/>
      <c r="E380" s="133"/>
      <c r="F380" s="2"/>
      <c r="G380" s="105"/>
      <c r="H380" s="2"/>
      <c r="I380" s="25"/>
      <c r="J380" s="21"/>
      <c r="M380" s="29"/>
      <c r="N380" s="29"/>
      <c r="O380" s="29"/>
      <c r="Q380" s="89"/>
    </row>
    <row r="381" spans="1:17" s="5" customFormat="1" ht="99.75" customHeight="1">
      <c r="A381" s="6"/>
      <c r="B381" s="10"/>
      <c r="C381" s="192"/>
      <c r="D381" s="2"/>
      <c r="E381" s="133"/>
      <c r="F381" s="2"/>
      <c r="G381" s="105"/>
      <c r="H381" s="15"/>
      <c r="I381" s="25"/>
      <c r="J381" s="21"/>
      <c r="M381" s="29"/>
      <c r="N381" s="29"/>
      <c r="O381" s="29"/>
      <c r="Q381" s="89"/>
    </row>
    <row r="382" spans="1:17" s="5" customFormat="1">
      <c r="A382" s="6"/>
      <c r="B382" s="10"/>
      <c r="C382" s="192"/>
      <c r="D382" s="2"/>
      <c r="E382" s="133"/>
      <c r="F382" s="2"/>
      <c r="G382" s="105"/>
      <c r="H382" s="15"/>
      <c r="I382" s="25"/>
      <c r="J382" s="21"/>
      <c r="M382" s="29"/>
      <c r="N382" s="29"/>
      <c r="O382" s="29"/>
      <c r="Q382" s="89"/>
    </row>
    <row r="383" spans="1:17" s="5" customFormat="1">
      <c r="A383" s="6"/>
      <c r="B383" s="10"/>
      <c r="C383" s="74"/>
      <c r="D383" s="2"/>
      <c r="E383" s="133"/>
      <c r="F383" s="2"/>
      <c r="G383" s="105"/>
      <c r="H383" s="2"/>
      <c r="I383" s="25"/>
      <c r="J383" s="21"/>
      <c r="M383" s="29"/>
      <c r="N383" s="29"/>
      <c r="O383" s="29"/>
      <c r="Q383" s="89"/>
    </row>
    <row r="384" spans="1:17" s="5" customFormat="1">
      <c r="A384" s="6"/>
      <c r="B384" s="10"/>
      <c r="C384" s="192"/>
      <c r="D384" s="2"/>
      <c r="E384" s="133"/>
      <c r="F384" s="2"/>
      <c r="G384" s="105"/>
      <c r="H384" s="2"/>
      <c r="I384" s="25"/>
      <c r="J384" s="21"/>
      <c r="M384" s="29"/>
      <c r="N384" s="29"/>
      <c r="O384" s="29"/>
      <c r="Q384" s="89"/>
    </row>
    <row r="385" spans="1:17" s="5" customFormat="1" ht="99.2" customHeight="1">
      <c r="A385" s="6"/>
      <c r="B385" s="10"/>
      <c r="C385" s="192"/>
      <c r="D385" s="2"/>
      <c r="E385" s="133"/>
      <c r="F385" s="2"/>
      <c r="G385" s="105"/>
      <c r="H385" s="15"/>
      <c r="I385" s="25"/>
      <c r="J385" s="21"/>
      <c r="M385" s="29"/>
      <c r="N385" s="29"/>
      <c r="O385" s="29"/>
      <c r="Q385" s="89"/>
    </row>
    <row r="386" spans="1:17" s="5" customFormat="1">
      <c r="A386" s="6"/>
      <c r="B386" s="10"/>
      <c r="C386" s="192"/>
      <c r="D386" s="2"/>
      <c r="E386" s="133"/>
      <c r="F386" s="2"/>
      <c r="G386" s="105"/>
      <c r="H386" s="15"/>
      <c r="I386" s="25"/>
      <c r="J386" s="21"/>
      <c r="M386" s="29"/>
      <c r="N386" s="29"/>
      <c r="O386" s="29"/>
      <c r="Q386" s="89"/>
    </row>
    <row r="387" spans="1:17" s="5" customFormat="1">
      <c r="A387" s="6"/>
      <c r="B387" s="10"/>
      <c r="C387" s="74"/>
      <c r="D387" s="2"/>
      <c r="E387" s="133"/>
      <c r="F387" s="2"/>
      <c r="G387" s="105"/>
      <c r="H387" s="2"/>
      <c r="I387" s="25"/>
      <c r="J387" s="21"/>
      <c r="M387" s="29"/>
      <c r="N387" s="29"/>
      <c r="O387" s="29"/>
      <c r="Q387" s="89"/>
    </row>
    <row r="388" spans="1:17" s="5" customFormat="1">
      <c r="A388" s="6"/>
      <c r="B388" s="10"/>
      <c r="C388" s="2"/>
      <c r="D388" s="2"/>
      <c r="E388" s="133"/>
      <c r="F388" s="2"/>
      <c r="G388" s="105"/>
      <c r="H388" s="2"/>
      <c r="I388" s="25"/>
      <c r="J388" s="21"/>
      <c r="M388" s="29"/>
      <c r="N388" s="29"/>
      <c r="O388" s="29"/>
      <c r="Q388" s="89"/>
    </row>
    <row r="389" spans="1:17" s="5" customFormat="1" ht="97.5" customHeight="1">
      <c r="A389" s="6"/>
      <c r="B389" s="10"/>
      <c r="C389" s="192"/>
      <c r="D389" s="2"/>
      <c r="E389" s="133"/>
      <c r="F389" s="2"/>
      <c r="G389" s="105"/>
      <c r="H389" s="15"/>
      <c r="I389" s="25"/>
      <c r="J389" s="21"/>
      <c r="M389" s="29"/>
      <c r="N389" s="29"/>
      <c r="O389" s="29"/>
      <c r="Q389" s="89"/>
    </row>
    <row r="390" spans="1:17" s="5" customFormat="1">
      <c r="A390" s="6"/>
      <c r="B390" s="10"/>
      <c r="C390" s="192"/>
      <c r="D390" s="2"/>
      <c r="E390" s="133"/>
      <c r="F390" s="2"/>
      <c r="G390" s="105"/>
      <c r="H390" s="15"/>
      <c r="I390" s="25"/>
      <c r="J390" s="21"/>
      <c r="M390" s="29"/>
      <c r="N390" s="29"/>
      <c r="O390" s="29"/>
      <c r="Q390" s="89"/>
    </row>
    <row r="391" spans="1:17" s="5" customFormat="1">
      <c r="A391" s="6"/>
      <c r="B391" s="10"/>
      <c r="C391" s="74"/>
      <c r="D391" s="2"/>
      <c r="E391" s="133"/>
      <c r="F391" s="2"/>
      <c r="G391" s="105"/>
      <c r="H391" s="2"/>
      <c r="I391" s="25"/>
      <c r="J391" s="21"/>
      <c r="M391" s="29"/>
      <c r="N391" s="29"/>
      <c r="O391" s="29"/>
      <c r="Q391" s="89"/>
    </row>
    <row r="392" spans="1:17" s="5" customFormat="1">
      <c r="A392" s="6"/>
      <c r="B392" s="10"/>
      <c r="C392" s="192"/>
      <c r="D392" s="2"/>
      <c r="E392" s="133"/>
      <c r="F392" s="2"/>
      <c r="G392" s="105"/>
      <c r="H392" s="2"/>
      <c r="I392" s="25"/>
      <c r="J392" s="21"/>
      <c r="M392" s="29"/>
      <c r="N392" s="29"/>
      <c r="O392" s="29"/>
      <c r="Q392" s="89"/>
    </row>
    <row r="393" spans="1:17" s="5" customFormat="1" ht="97.5" customHeight="1">
      <c r="A393" s="6"/>
      <c r="B393" s="10"/>
      <c r="C393" s="192"/>
      <c r="D393" s="2"/>
      <c r="E393" s="133"/>
      <c r="F393" s="2"/>
      <c r="G393" s="105"/>
      <c r="H393" s="15"/>
      <c r="I393" s="25"/>
      <c r="J393" s="21"/>
      <c r="M393" s="29"/>
      <c r="N393" s="29"/>
      <c r="O393" s="29"/>
      <c r="Q393" s="89"/>
    </row>
    <row r="394" spans="1:17" s="5" customFormat="1">
      <c r="A394" s="6"/>
      <c r="B394" s="10"/>
      <c r="C394" s="192"/>
      <c r="D394" s="2"/>
      <c r="E394" s="133"/>
      <c r="F394" s="2"/>
      <c r="G394" s="105"/>
      <c r="H394" s="15"/>
      <c r="I394" s="25"/>
      <c r="J394" s="21"/>
      <c r="M394" s="29"/>
      <c r="N394" s="29"/>
      <c r="O394" s="29"/>
      <c r="Q394" s="89"/>
    </row>
    <row r="395" spans="1:17" s="5" customFormat="1">
      <c r="A395" s="6"/>
      <c r="B395" s="10"/>
      <c r="C395" s="74"/>
      <c r="D395" s="2"/>
      <c r="E395" s="133"/>
      <c r="F395" s="2"/>
      <c r="G395" s="105"/>
      <c r="H395" s="2"/>
      <c r="I395" s="25"/>
      <c r="J395" s="21"/>
      <c r="M395" s="29"/>
      <c r="N395" s="29"/>
      <c r="O395" s="29"/>
      <c r="Q395" s="89"/>
    </row>
    <row r="396" spans="1:17" s="5" customFormat="1">
      <c r="A396" s="6"/>
      <c r="B396" s="10"/>
      <c r="C396" s="2"/>
      <c r="D396" s="2"/>
      <c r="E396" s="133"/>
      <c r="F396" s="2"/>
      <c r="G396" s="105"/>
      <c r="H396" s="2"/>
      <c r="I396" s="25"/>
      <c r="J396" s="21"/>
      <c r="M396" s="29"/>
      <c r="N396" s="29"/>
      <c r="O396" s="29"/>
      <c r="Q396" s="89"/>
    </row>
    <row r="397" spans="1:17" s="5" customFormat="1" ht="98.25" customHeight="1">
      <c r="A397" s="6"/>
      <c r="B397" s="10"/>
      <c r="C397" s="192"/>
      <c r="D397" s="2"/>
      <c r="E397" s="133"/>
      <c r="F397" s="2"/>
      <c r="G397" s="105"/>
      <c r="H397" s="15"/>
      <c r="I397" s="25"/>
      <c r="J397" s="21"/>
      <c r="M397" s="29"/>
      <c r="N397" s="29"/>
      <c r="O397" s="29"/>
      <c r="Q397" s="89"/>
    </row>
    <row r="398" spans="1:17" s="5" customFormat="1">
      <c r="A398" s="6"/>
      <c r="B398" s="10"/>
      <c r="C398" s="192"/>
      <c r="D398" s="2"/>
      <c r="E398" s="133"/>
      <c r="F398" s="2"/>
      <c r="G398" s="105"/>
      <c r="H398" s="15"/>
      <c r="I398" s="25"/>
      <c r="J398" s="21"/>
      <c r="M398" s="29"/>
      <c r="N398" s="29"/>
      <c r="O398" s="29"/>
      <c r="Q398" s="89"/>
    </row>
    <row r="399" spans="1:17" s="5" customFormat="1">
      <c r="A399" s="6"/>
      <c r="B399" s="10"/>
      <c r="C399" s="74"/>
      <c r="D399" s="2"/>
      <c r="E399" s="133"/>
      <c r="F399" s="2"/>
      <c r="G399" s="105"/>
      <c r="H399" s="2"/>
      <c r="I399" s="25"/>
      <c r="J399" s="21"/>
      <c r="M399" s="29"/>
      <c r="N399" s="29"/>
      <c r="O399" s="29"/>
      <c r="Q399" s="89"/>
    </row>
    <row r="400" spans="1:17" s="5" customFormat="1">
      <c r="A400" s="6"/>
      <c r="B400" s="10"/>
      <c r="C400" s="192"/>
      <c r="D400" s="2"/>
      <c r="E400" s="133"/>
      <c r="F400" s="2"/>
      <c r="G400" s="105"/>
      <c r="H400" s="2"/>
      <c r="I400" s="25"/>
      <c r="J400" s="21"/>
      <c r="M400" s="29"/>
      <c r="N400" s="29"/>
      <c r="O400" s="29"/>
      <c r="Q400" s="89"/>
    </row>
    <row r="401" spans="1:17" s="5" customFormat="1" ht="97.5" customHeight="1">
      <c r="A401" s="6"/>
      <c r="B401" s="10"/>
      <c r="C401" s="192"/>
      <c r="D401" s="2"/>
      <c r="E401" s="133"/>
      <c r="F401" s="2"/>
      <c r="G401" s="105"/>
      <c r="H401" s="15"/>
      <c r="I401" s="25"/>
      <c r="J401" s="21"/>
      <c r="M401" s="29"/>
      <c r="N401" s="29"/>
      <c r="O401" s="29"/>
      <c r="Q401" s="89"/>
    </row>
    <row r="402" spans="1:17" s="5" customFormat="1">
      <c r="A402" s="6"/>
      <c r="B402" s="10"/>
      <c r="C402" s="192"/>
      <c r="D402" s="2"/>
      <c r="E402" s="133"/>
      <c r="F402" s="2"/>
      <c r="G402" s="105"/>
      <c r="H402" s="15"/>
      <c r="I402" s="25"/>
      <c r="J402" s="21"/>
      <c r="M402" s="29"/>
      <c r="N402" s="29"/>
      <c r="O402" s="29"/>
      <c r="Q402" s="89"/>
    </row>
    <row r="403" spans="1:17" s="5" customFormat="1">
      <c r="A403" s="6"/>
      <c r="B403" s="10"/>
      <c r="C403" s="74"/>
      <c r="D403" s="2"/>
      <c r="E403" s="133"/>
      <c r="F403" s="2"/>
      <c r="G403" s="105"/>
      <c r="H403" s="2"/>
      <c r="I403" s="25"/>
      <c r="J403" s="21"/>
      <c r="M403" s="29"/>
      <c r="N403" s="29"/>
      <c r="O403" s="29"/>
      <c r="Q403" s="89"/>
    </row>
    <row r="404" spans="1:17" s="5" customFormat="1">
      <c r="A404" s="6"/>
      <c r="B404" s="10"/>
      <c r="C404" s="192"/>
      <c r="D404" s="2"/>
      <c r="E404" s="133"/>
      <c r="F404" s="2"/>
      <c r="G404" s="105"/>
      <c r="H404" s="2"/>
      <c r="I404" s="25"/>
      <c r="J404" s="21"/>
      <c r="M404" s="29"/>
      <c r="N404" s="29"/>
      <c r="O404" s="29"/>
      <c r="Q404" s="89"/>
    </row>
    <row r="405" spans="1:17" s="5" customFormat="1" ht="99.2" customHeight="1">
      <c r="A405" s="6"/>
      <c r="B405" s="10"/>
      <c r="C405" s="192"/>
      <c r="D405" s="2"/>
      <c r="E405" s="133"/>
      <c r="F405" s="2"/>
      <c r="G405" s="105"/>
      <c r="H405" s="15"/>
      <c r="I405" s="25"/>
      <c r="J405" s="21"/>
      <c r="K405" s="10"/>
      <c r="M405" s="29"/>
      <c r="N405" s="29"/>
      <c r="O405" s="29"/>
      <c r="Q405" s="89"/>
    </row>
    <row r="406" spans="1:17" s="5" customFormat="1">
      <c r="A406" s="6"/>
      <c r="B406" s="10"/>
      <c r="C406" s="192"/>
      <c r="D406" s="2"/>
      <c r="E406" s="133"/>
      <c r="F406" s="2"/>
      <c r="G406" s="105"/>
      <c r="H406" s="15"/>
      <c r="I406" s="25"/>
      <c r="J406" s="21"/>
      <c r="M406" s="29"/>
      <c r="N406" s="29"/>
      <c r="O406" s="29"/>
      <c r="Q406" s="89"/>
    </row>
    <row r="407" spans="1:17" s="5" customFormat="1">
      <c r="A407" s="6"/>
      <c r="B407" s="10"/>
      <c r="C407" s="74"/>
      <c r="D407" s="2"/>
      <c r="E407" s="133"/>
      <c r="F407" s="2"/>
      <c r="G407" s="105"/>
      <c r="H407" s="2"/>
      <c r="I407" s="25"/>
      <c r="J407" s="21"/>
      <c r="M407" s="29"/>
      <c r="N407" s="29"/>
      <c r="O407" s="29"/>
      <c r="Q407" s="89"/>
    </row>
    <row r="408" spans="1:17" s="5" customFormat="1">
      <c r="A408" s="6"/>
      <c r="B408" s="10"/>
      <c r="C408" s="4"/>
      <c r="D408" s="2"/>
      <c r="E408" s="133"/>
      <c r="F408" s="2"/>
      <c r="G408" s="105"/>
      <c r="H408" s="2"/>
      <c r="I408" s="25"/>
      <c r="J408" s="21"/>
      <c r="M408" s="29"/>
      <c r="N408" s="29"/>
      <c r="O408" s="29"/>
      <c r="Q408" s="89"/>
    </row>
    <row r="409" spans="1:17" s="5" customFormat="1" ht="96" customHeight="1">
      <c r="A409" s="6"/>
      <c r="B409" s="10"/>
      <c r="C409" s="192"/>
      <c r="D409" s="2"/>
      <c r="E409" s="133"/>
      <c r="F409" s="2"/>
      <c r="G409" s="105"/>
      <c r="H409" s="15"/>
      <c r="I409" s="25"/>
      <c r="J409" s="21"/>
      <c r="M409" s="29"/>
      <c r="N409" s="29"/>
      <c r="O409" s="29"/>
      <c r="Q409" s="89"/>
    </row>
    <row r="410" spans="1:17" s="5" customFormat="1">
      <c r="A410" s="6"/>
      <c r="B410" s="10"/>
      <c r="C410" s="192"/>
      <c r="D410" s="2"/>
      <c r="E410" s="133"/>
      <c r="F410" s="2"/>
      <c r="G410" s="105"/>
      <c r="H410" s="15"/>
      <c r="I410" s="25"/>
      <c r="J410" s="21"/>
      <c r="M410" s="29"/>
      <c r="N410" s="29"/>
      <c r="O410" s="29"/>
      <c r="Q410" s="89"/>
    </row>
    <row r="411" spans="1:17" s="5" customFormat="1">
      <c r="A411" s="6"/>
      <c r="B411" s="10"/>
      <c r="C411" s="74"/>
      <c r="D411" s="2"/>
      <c r="E411" s="133"/>
      <c r="F411" s="2"/>
      <c r="G411" s="105"/>
      <c r="H411" s="2"/>
      <c r="I411" s="25"/>
      <c r="J411" s="21"/>
      <c r="M411" s="29"/>
      <c r="N411" s="29"/>
      <c r="O411" s="29"/>
      <c r="Q411" s="89"/>
    </row>
    <row r="412" spans="1:17" s="5" customFormat="1">
      <c r="A412" s="6"/>
      <c r="B412" s="10"/>
      <c r="C412" s="192"/>
      <c r="D412" s="2"/>
      <c r="E412" s="133"/>
      <c r="F412" s="2"/>
      <c r="G412" s="105"/>
      <c r="H412" s="2"/>
      <c r="I412" s="25"/>
      <c r="J412" s="21"/>
      <c r="M412" s="29"/>
      <c r="N412" s="29"/>
      <c r="O412" s="29"/>
      <c r="Q412" s="89"/>
    </row>
    <row r="413" spans="1:17" s="5" customFormat="1" ht="96.75" customHeight="1">
      <c r="A413" s="6"/>
      <c r="B413" s="10"/>
      <c r="C413" s="192"/>
      <c r="D413" s="2"/>
      <c r="E413" s="133"/>
      <c r="F413" s="2"/>
      <c r="G413" s="105"/>
      <c r="H413" s="15"/>
      <c r="I413" s="25"/>
      <c r="J413" s="21"/>
      <c r="M413" s="29"/>
      <c r="N413" s="29"/>
      <c r="O413" s="29"/>
      <c r="Q413" s="89"/>
    </row>
    <row r="414" spans="1:17" s="5" customFormat="1">
      <c r="A414" s="6"/>
      <c r="B414" s="10"/>
      <c r="C414" s="192"/>
      <c r="D414" s="2"/>
      <c r="E414" s="133"/>
      <c r="F414" s="2"/>
      <c r="G414" s="105"/>
      <c r="H414" s="15"/>
      <c r="I414" s="25"/>
      <c r="J414" s="21"/>
      <c r="M414" s="29"/>
      <c r="N414" s="29"/>
      <c r="O414" s="29"/>
      <c r="Q414" s="89"/>
    </row>
    <row r="415" spans="1:17" s="5" customFormat="1">
      <c r="A415" s="6"/>
      <c r="B415" s="10"/>
      <c r="C415" s="74"/>
      <c r="D415" s="2"/>
      <c r="E415" s="133"/>
      <c r="F415" s="2"/>
      <c r="G415" s="105"/>
      <c r="H415" s="2"/>
      <c r="I415" s="25"/>
      <c r="J415" s="21"/>
      <c r="M415" s="29"/>
      <c r="N415" s="29"/>
      <c r="O415" s="29"/>
      <c r="Q415" s="89"/>
    </row>
    <row r="416" spans="1:17" s="5" customFormat="1">
      <c r="A416" s="6"/>
      <c r="B416" s="10"/>
      <c r="C416" s="192"/>
      <c r="D416" s="2"/>
      <c r="E416" s="133"/>
      <c r="F416" s="2"/>
      <c r="G416" s="105"/>
      <c r="H416" s="2"/>
      <c r="I416" s="25"/>
      <c r="J416" s="21"/>
      <c r="M416" s="29"/>
      <c r="N416" s="29"/>
      <c r="O416" s="29"/>
      <c r="Q416" s="89"/>
    </row>
    <row r="417" spans="1:17" s="5" customFormat="1" ht="99.2" customHeight="1">
      <c r="A417" s="6"/>
      <c r="B417" s="10"/>
      <c r="C417" s="192"/>
      <c r="D417" s="2"/>
      <c r="E417" s="133"/>
      <c r="F417" s="2"/>
      <c r="G417" s="105"/>
      <c r="H417" s="15"/>
      <c r="I417" s="25"/>
      <c r="J417" s="21"/>
      <c r="K417" s="10"/>
      <c r="M417" s="29"/>
      <c r="N417" s="29"/>
      <c r="O417" s="29"/>
      <c r="Q417" s="89"/>
    </row>
    <row r="418" spans="1:17" s="5" customFormat="1">
      <c r="A418" s="6"/>
      <c r="B418" s="10"/>
      <c r="C418" s="192"/>
      <c r="D418" s="2"/>
      <c r="E418" s="133"/>
      <c r="F418" s="2"/>
      <c r="G418" s="105"/>
      <c r="H418" s="15"/>
      <c r="I418" s="25"/>
      <c r="J418" s="21"/>
      <c r="M418" s="29"/>
      <c r="N418" s="29"/>
      <c r="O418" s="29"/>
      <c r="Q418" s="89"/>
    </row>
    <row r="419" spans="1:17" s="5" customFormat="1">
      <c r="A419" s="6"/>
      <c r="B419" s="10"/>
      <c r="C419" s="74"/>
      <c r="D419" s="2"/>
      <c r="E419" s="133"/>
      <c r="F419" s="2"/>
      <c r="G419" s="105"/>
      <c r="H419" s="2"/>
      <c r="I419" s="25"/>
      <c r="J419" s="21"/>
      <c r="M419" s="29"/>
      <c r="N419" s="29"/>
      <c r="O419" s="29"/>
      <c r="Q419" s="89"/>
    </row>
    <row r="420" spans="1:17" s="5" customFormat="1">
      <c r="A420" s="6"/>
      <c r="B420" s="10"/>
      <c r="C420" s="192"/>
      <c r="D420" s="2"/>
      <c r="E420" s="133"/>
      <c r="F420" s="2"/>
      <c r="G420" s="105"/>
      <c r="H420" s="2"/>
      <c r="I420" s="25"/>
      <c r="J420" s="21"/>
      <c r="M420" s="29"/>
      <c r="N420" s="29"/>
      <c r="O420" s="29"/>
      <c r="Q420" s="89"/>
    </row>
    <row r="421" spans="1:17" s="5" customFormat="1" ht="96" customHeight="1">
      <c r="A421" s="6"/>
      <c r="B421" s="10"/>
      <c r="C421" s="192"/>
      <c r="D421" s="2"/>
      <c r="E421" s="133"/>
      <c r="F421" s="2"/>
      <c r="G421" s="105"/>
      <c r="H421" s="15"/>
      <c r="I421" s="25"/>
      <c r="J421" s="21"/>
      <c r="M421" s="29"/>
      <c r="N421" s="29"/>
      <c r="O421" s="29"/>
      <c r="Q421" s="89"/>
    </row>
    <row r="422" spans="1:17" s="5" customFormat="1">
      <c r="A422" s="6"/>
      <c r="B422" s="10"/>
      <c r="C422" s="192"/>
      <c r="D422" s="2"/>
      <c r="E422" s="133"/>
      <c r="F422" s="2"/>
      <c r="G422" s="105"/>
      <c r="H422" s="15"/>
      <c r="I422" s="25"/>
      <c r="J422" s="21"/>
      <c r="M422" s="29"/>
      <c r="N422" s="29"/>
      <c r="O422" s="29"/>
      <c r="Q422" s="89"/>
    </row>
    <row r="423" spans="1:17" s="5" customFormat="1">
      <c r="A423" s="6"/>
      <c r="B423" s="10"/>
      <c r="C423" s="74"/>
      <c r="D423" s="2"/>
      <c r="E423" s="133"/>
      <c r="F423" s="2"/>
      <c r="G423" s="105"/>
      <c r="H423" s="2"/>
      <c r="I423" s="25"/>
      <c r="J423" s="21"/>
      <c r="M423" s="29"/>
      <c r="N423" s="29"/>
      <c r="O423" s="29"/>
      <c r="Q423" s="89"/>
    </row>
    <row r="424" spans="1:17" s="5" customFormat="1">
      <c r="A424" s="6"/>
      <c r="B424" s="10"/>
      <c r="C424" s="192"/>
      <c r="D424" s="2"/>
      <c r="E424" s="133"/>
      <c r="F424" s="2"/>
      <c r="G424" s="105"/>
      <c r="H424" s="2"/>
      <c r="I424" s="25"/>
      <c r="J424" s="21"/>
      <c r="M424" s="29"/>
      <c r="N424" s="29"/>
      <c r="O424" s="29"/>
      <c r="Q424" s="89"/>
    </row>
    <row r="425" spans="1:17" s="5" customFormat="1" ht="99.2" customHeight="1">
      <c r="A425" s="6"/>
      <c r="B425" s="10"/>
      <c r="C425" s="192"/>
      <c r="D425" s="2"/>
      <c r="E425" s="133"/>
      <c r="F425" s="2"/>
      <c r="G425" s="105"/>
      <c r="H425" s="15"/>
      <c r="I425" s="25"/>
      <c r="J425" s="21"/>
      <c r="K425" s="10"/>
      <c r="M425" s="29"/>
      <c r="N425" s="29"/>
      <c r="O425" s="29"/>
      <c r="Q425" s="89"/>
    </row>
    <row r="426" spans="1:17" s="5" customFormat="1">
      <c r="A426" s="6"/>
      <c r="B426" s="10"/>
      <c r="C426" s="192"/>
      <c r="D426" s="2"/>
      <c r="E426" s="133"/>
      <c r="F426" s="2"/>
      <c r="G426" s="105"/>
      <c r="H426" s="15"/>
      <c r="I426" s="25"/>
      <c r="J426" s="21"/>
      <c r="M426" s="29"/>
      <c r="N426" s="29"/>
      <c r="O426" s="29"/>
      <c r="Q426" s="89"/>
    </row>
    <row r="427" spans="1:17" s="5" customFormat="1">
      <c r="A427" s="6"/>
      <c r="B427" s="10"/>
      <c r="C427" s="74"/>
      <c r="D427" s="2"/>
      <c r="E427" s="133"/>
      <c r="F427" s="2"/>
      <c r="G427" s="105"/>
      <c r="H427" s="2"/>
      <c r="I427" s="25"/>
      <c r="J427" s="21"/>
      <c r="M427" s="29"/>
      <c r="N427" s="29"/>
      <c r="O427" s="29"/>
      <c r="Q427" s="89"/>
    </row>
    <row r="428" spans="1:17" s="5" customFormat="1">
      <c r="A428" s="6"/>
      <c r="B428" s="10"/>
      <c r="C428" s="192"/>
      <c r="D428" s="2"/>
      <c r="E428" s="133"/>
      <c r="F428" s="2"/>
      <c r="G428" s="105"/>
      <c r="H428" s="2"/>
      <c r="I428" s="25"/>
      <c r="J428" s="21"/>
      <c r="M428" s="29"/>
      <c r="N428" s="29"/>
      <c r="O428" s="29"/>
      <c r="Q428" s="89"/>
    </row>
    <row r="429" spans="1:17" s="5" customFormat="1" ht="96" customHeight="1">
      <c r="A429" s="6"/>
      <c r="B429" s="10"/>
      <c r="C429" s="192"/>
      <c r="D429" s="2"/>
      <c r="E429" s="133"/>
      <c r="F429" s="2"/>
      <c r="G429" s="105"/>
      <c r="H429" s="15"/>
      <c r="I429" s="25"/>
      <c r="J429" s="21"/>
      <c r="M429" s="29"/>
      <c r="N429" s="29"/>
      <c r="O429" s="29"/>
      <c r="Q429" s="89"/>
    </row>
    <row r="430" spans="1:17" s="5" customFormat="1">
      <c r="A430" s="6"/>
      <c r="B430" s="10"/>
      <c r="C430" s="192"/>
      <c r="D430" s="2"/>
      <c r="E430" s="133"/>
      <c r="F430" s="2"/>
      <c r="G430" s="105"/>
      <c r="H430" s="15"/>
      <c r="I430" s="25"/>
      <c r="J430" s="21"/>
      <c r="M430" s="29"/>
      <c r="N430" s="29"/>
      <c r="O430" s="29"/>
      <c r="Q430" s="89"/>
    </row>
    <row r="431" spans="1:17" s="5" customFormat="1">
      <c r="A431" s="6"/>
      <c r="B431" s="10"/>
      <c r="C431" s="74"/>
      <c r="D431" s="2"/>
      <c r="E431" s="133"/>
      <c r="F431" s="2"/>
      <c r="G431" s="105"/>
      <c r="H431" s="2"/>
      <c r="I431" s="25"/>
      <c r="J431" s="21"/>
      <c r="M431" s="29"/>
      <c r="N431" s="29"/>
      <c r="O431" s="29"/>
      <c r="Q431" s="89"/>
    </row>
    <row r="432" spans="1:17" s="5" customFormat="1">
      <c r="A432" s="6"/>
      <c r="B432" s="10"/>
      <c r="C432" s="192"/>
      <c r="D432" s="2"/>
      <c r="E432" s="133"/>
      <c r="F432" s="2"/>
      <c r="G432" s="105"/>
      <c r="H432" s="2"/>
      <c r="I432" s="25"/>
      <c r="J432" s="21"/>
      <c r="M432" s="29"/>
      <c r="N432" s="29"/>
      <c r="O432" s="29"/>
      <c r="Q432" s="89"/>
    </row>
    <row r="433" spans="1:17" s="5" customFormat="1" ht="98.25" customHeight="1">
      <c r="A433" s="6"/>
      <c r="B433" s="10"/>
      <c r="C433" s="192"/>
      <c r="D433" s="2"/>
      <c r="E433" s="133"/>
      <c r="F433" s="2"/>
      <c r="G433" s="105"/>
      <c r="H433" s="15"/>
      <c r="I433" s="25"/>
      <c r="J433" s="21"/>
      <c r="M433" s="29"/>
      <c r="N433" s="29"/>
      <c r="O433" s="29"/>
      <c r="Q433" s="89"/>
    </row>
    <row r="434" spans="1:17" s="5" customFormat="1">
      <c r="A434" s="6"/>
      <c r="B434" s="10"/>
      <c r="C434" s="192"/>
      <c r="D434" s="2"/>
      <c r="E434" s="133"/>
      <c r="F434" s="2"/>
      <c r="G434" s="105"/>
      <c r="H434" s="15"/>
      <c r="I434" s="25"/>
      <c r="J434" s="21"/>
      <c r="M434" s="29"/>
      <c r="N434" s="29"/>
      <c r="O434" s="29"/>
      <c r="Q434" s="89"/>
    </row>
    <row r="435" spans="1:17" s="5" customFormat="1">
      <c r="A435" s="6"/>
      <c r="B435" s="10"/>
      <c r="C435" s="74"/>
      <c r="D435" s="2"/>
      <c r="E435" s="133"/>
      <c r="F435" s="2"/>
      <c r="G435" s="105"/>
      <c r="H435" s="2"/>
      <c r="I435" s="25"/>
      <c r="J435" s="21"/>
      <c r="M435" s="29"/>
      <c r="N435" s="29"/>
      <c r="O435" s="29"/>
      <c r="Q435" s="89"/>
    </row>
    <row r="436" spans="1:17" s="5" customFormat="1">
      <c r="A436" s="6"/>
      <c r="B436" s="10"/>
      <c r="C436" s="192"/>
      <c r="D436" s="2"/>
      <c r="E436" s="133"/>
      <c r="F436" s="2"/>
      <c r="G436" s="105"/>
      <c r="H436" s="2"/>
      <c r="I436" s="25"/>
      <c r="J436" s="21"/>
      <c r="M436" s="29"/>
      <c r="N436" s="29"/>
      <c r="O436" s="29"/>
      <c r="Q436" s="89"/>
    </row>
    <row r="437" spans="1:17" s="5" customFormat="1" ht="96" customHeight="1">
      <c r="A437" s="6"/>
      <c r="B437" s="10"/>
      <c r="C437" s="192"/>
      <c r="D437" s="2"/>
      <c r="E437" s="133"/>
      <c r="F437" s="2"/>
      <c r="G437" s="105"/>
      <c r="H437" s="15"/>
      <c r="I437" s="25"/>
      <c r="J437" s="21"/>
      <c r="M437" s="29"/>
      <c r="N437" s="29"/>
      <c r="O437" s="29"/>
      <c r="Q437" s="89"/>
    </row>
    <row r="438" spans="1:17" s="5" customFormat="1">
      <c r="A438" s="6"/>
      <c r="B438" s="10"/>
      <c r="C438" s="192"/>
      <c r="D438" s="2"/>
      <c r="E438" s="133"/>
      <c r="F438" s="2"/>
      <c r="G438" s="105"/>
      <c r="H438" s="15"/>
      <c r="I438" s="25"/>
      <c r="J438" s="21"/>
      <c r="M438" s="29"/>
      <c r="N438" s="29"/>
      <c r="O438" s="29"/>
      <c r="Q438" s="89"/>
    </row>
    <row r="439" spans="1:17" s="5" customFormat="1">
      <c r="A439" s="6"/>
      <c r="B439" s="10"/>
      <c r="C439" s="74"/>
      <c r="D439" s="2"/>
      <c r="E439" s="133"/>
      <c r="F439" s="2"/>
      <c r="G439" s="105"/>
      <c r="H439" s="2"/>
      <c r="I439" s="25"/>
      <c r="J439" s="21"/>
      <c r="M439" s="29"/>
      <c r="N439" s="29"/>
      <c r="O439" s="29"/>
      <c r="Q439" s="89"/>
    </row>
    <row r="440" spans="1:17" s="5" customFormat="1">
      <c r="A440" s="6"/>
      <c r="B440" s="10"/>
      <c r="C440" s="192"/>
      <c r="D440" s="2"/>
      <c r="E440" s="133"/>
      <c r="F440" s="2"/>
      <c r="G440" s="105"/>
      <c r="H440" s="2"/>
      <c r="I440" s="25"/>
      <c r="J440" s="21"/>
      <c r="M440" s="29"/>
      <c r="N440" s="29"/>
      <c r="O440" s="29"/>
      <c r="Q440" s="89"/>
    </row>
    <row r="441" spans="1:17" s="5" customFormat="1" ht="99.2" customHeight="1">
      <c r="A441" s="6"/>
      <c r="B441" s="10"/>
      <c r="C441" s="192"/>
      <c r="D441" s="2"/>
      <c r="E441" s="133"/>
      <c r="F441" s="2"/>
      <c r="G441" s="105"/>
      <c r="H441" s="15"/>
      <c r="I441" s="25"/>
      <c r="J441" s="21"/>
      <c r="M441" s="29"/>
      <c r="N441" s="29"/>
      <c r="O441" s="29"/>
      <c r="Q441" s="89"/>
    </row>
    <row r="442" spans="1:17" s="5" customFormat="1">
      <c r="A442" s="6"/>
      <c r="B442" s="10"/>
      <c r="C442" s="192"/>
      <c r="D442" s="2"/>
      <c r="E442" s="133"/>
      <c r="F442" s="2"/>
      <c r="G442" s="105"/>
      <c r="H442" s="15"/>
      <c r="I442" s="25"/>
      <c r="J442" s="21"/>
      <c r="M442" s="29"/>
      <c r="N442" s="29"/>
      <c r="O442" s="29"/>
      <c r="Q442" s="89"/>
    </row>
    <row r="443" spans="1:17" s="5" customFormat="1">
      <c r="A443" s="6"/>
      <c r="B443" s="10"/>
      <c r="C443" s="74"/>
      <c r="D443" s="2"/>
      <c r="E443" s="133"/>
      <c r="F443" s="2"/>
      <c r="G443" s="105"/>
      <c r="H443" s="2"/>
      <c r="I443" s="25"/>
      <c r="J443" s="21"/>
      <c r="M443" s="29"/>
      <c r="N443" s="29"/>
      <c r="O443" s="29"/>
      <c r="Q443" s="89"/>
    </row>
    <row r="444" spans="1:17" s="5" customFormat="1">
      <c r="A444" s="6"/>
      <c r="B444" s="10"/>
      <c r="C444" s="192"/>
      <c r="D444" s="2"/>
      <c r="E444" s="133"/>
      <c r="F444" s="2"/>
      <c r="G444" s="105"/>
      <c r="H444" s="2"/>
      <c r="I444" s="25"/>
      <c r="J444" s="21"/>
      <c r="M444" s="29"/>
      <c r="N444" s="29"/>
      <c r="O444" s="29"/>
      <c r="Q444" s="89"/>
    </row>
    <row r="445" spans="1:17" s="5" customFormat="1" ht="97.5" customHeight="1">
      <c r="A445" s="6"/>
      <c r="B445" s="10"/>
      <c r="C445" s="192"/>
      <c r="D445" s="2"/>
      <c r="E445" s="133"/>
      <c r="F445" s="2"/>
      <c r="G445" s="105"/>
      <c r="H445" s="15"/>
      <c r="I445" s="25"/>
      <c r="J445" s="21"/>
      <c r="M445" s="29"/>
      <c r="N445" s="29"/>
      <c r="O445" s="29"/>
      <c r="Q445" s="89"/>
    </row>
    <row r="446" spans="1:17" s="5" customFormat="1">
      <c r="A446" s="6"/>
      <c r="B446" s="10"/>
      <c r="C446" s="192"/>
      <c r="D446" s="2"/>
      <c r="E446" s="133"/>
      <c r="F446" s="2"/>
      <c r="G446" s="105"/>
      <c r="H446" s="15"/>
      <c r="I446" s="25"/>
      <c r="J446" s="21"/>
      <c r="M446" s="29"/>
      <c r="N446" s="29"/>
      <c r="O446" s="29"/>
      <c r="Q446" s="89"/>
    </row>
    <row r="447" spans="1:17" s="5" customFormat="1">
      <c r="A447" s="6"/>
      <c r="B447" s="10"/>
      <c r="C447" s="74"/>
      <c r="D447" s="2"/>
      <c r="E447" s="133"/>
      <c r="F447" s="2"/>
      <c r="G447" s="105"/>
      <c r="H447" s="2"/>
      <c r="I447" s="25"/>
      <c r="J447" s="21"/>
      <c r="M447" s="29"/>
      <c r="N447" s="29"/>
      <c r="O447" s="29"/>
      <c r="Q447" s="89"/>
    </row>
    <row r="448" spans="1:17" s="5" customFormat="1">
      <c r="A448" s="6"/>
      <c r="B448" s="10"/>
      <c r="C448" s="192"/>
      <c r="D448" s="2"/>
      <c r="E448" s="133"/>
      <c r="F448" s="2"/>
      <c r="G448" s="105"/>
      <c r="H448" s="2"/>
      <c r="I448" s="25"/>
      <c r="J448" s="21"/>
      <c r="M448" s="29"/>
      <c r="N448" s="29"/>
      <c r="O448" s="29"/>
      <c r="Q448" s="89"/>
    </row>
    <row r="449" spans="1:17" s="5" customFormat="1" ht="96.75" customHeight="1">
      <c r="A449" s="6"/>
      <c r="B449" s="10"/>
      <c r="C449" s="192"/>
      <c r="D449" s="2"/>
      <c r="E449" s="133"/>
      <c r="F449" s="2"/>
      <c r="G449" s="105"/>
      <c r="H449" s="15"/>
      <c r="I449" s="25"/>
      <c r="J449" s="21"/>
      <c r="M449" s="29"/>
      <c r="N449" s="29"/>
      <c r="O449" s="29"/>
      <c r="Q449" s="89"/>
    </row>
    <row r="450" spans="1:17" s="5" customFormat="1">
      <c r="A450" s="6"/>
      <c r="B450" s="10"/>
      <c r="C450" s="192"/>
      <c r="D450" s="2"/>
      <c r="E450" s="133"/>
      <c r="F450" s="2"/>
      <c r="G450" s="105"/>
      <c r="H450" s="15"/>
      <c r="I450" s="25"/>
      <c r="J450" s="21"/>
      <c r="M450" s="29"/>
      <c r="N450" s="29"/>
      <c r="O450" s="29"/>
      <c r="Q450" s="89"/>
    </row>
    <row r="451" spans="1:17" s="5" customFormat="1">
      <c r="A451" s="6"/>
      <c r="B451" s="10"/>
      <c r="C451" s="74"/>
      <c r="D451" s="2"/>
      <c r="E451" s="133"/>
      <c r="F451" s="2"/>
      <c r="G451" s="105"/>
      <c r="H451" s="2"/>
      <c r="I451" s="25"/>
      <c r="J451" s="21"/>
      <c r="M451" s="29"/>
      <c r="N451" s="29"/>
      <c r="O451" s="29"/>
      <c r="Q451" s="89"/>
    </row>
    <row r="452" spans="1:17" s="5" customFormat="1">
      <c r="A452" s="6"/>
      <c r="B452" s="10"/>
      <c r="C452" s="192"/>
      <c r="D452" s="2"/>
      <c r="E452" s="133"/>
      <c r="F452" s="2"/>
      <c r="G452" s="105"/>
      <c r="H452" s="2"/>
      <c r="I452" s="25"/>
      <c r="J452" s="21"/>
      <c r="M452" s="29"/>
      <c r="N452" s="29"/>
      <c r="O452" s="29"/>
      <c r="Q452" s="89"/>
    </row>
    <row r="453" spans="1:17" s="5" customFormat="1" ht="93" customHeight="1">
      <c r="A453" s="6"/>
      <c r="B453" s="10"/>
      <c r="C453" s="192"/>
      <c r="D453" s="2"/>
      <c r="E453" s="133"/>
      <c r="F453" s="2"/>
      <c r="G453" s="105"/>
      <c r="H453" s="15"/>
      <c r="I453" s="25"/>
      <c r="J453" s="21"/>
      <c r="M453" s="29"/>
      <c r="N453" s="29"/>
      <c r="O453" s="29"/>
      <c r="Q453" s="89"/>
    </row>
    <row r="454" spans="1:17" s="5" customFormat="1">
      <c r="A454" s="6"/>
      <c r="B454" s="10"/>
      <c r="C454" s="192"/>
      <c r="D454" s="2"/>
      <c r="E454" s="133"/>
      <c r="F454" s="2"/>
      <c r="G454" s="105"/>
      <c r="H454" s="15"/>
      <c r="I454" s="25"/>
      <c r="J454" s="21"/>
      <c r="M454" s="29"/>
      <c r="N454" s="29"/>
      <c r="O454" s="29"/>
      <c r="Q454" s="89"/>
    </row>
    <row r="455" spans="1:17" s="5" customFormat="1">
      <c r="A455" s="6"/>
      <c r="B455" s="10"/>
      <c r="C455" s="74"/>
      <c r="D455" s="2"/>
      <c r="E455" s="133"/>
      <c r="F455" s="2"/>
      <c r="G455" s="105"/>
      <c r="H455" s="2"/>
      <c r="I455" s="25"/>
      <c r="J455" s="197"/>
      <c r="M455" s="29"/>
      <c r="N455" s="29"/>
      <c r="O455" s="29"/>
      <c r="Q455" s="89"/>
    </row>
    <row r="456" spans="1:17" s="5" customFormat="1">
      <c r="A456" s="6"/>
      <c r="B456" s="10"/>
      <c r="C456" s="192"/>
      <c r="D456" s="2"/>
      <c r="E456" s="133"/>
      <c r="F456" s="2"/>
      <c r="G456" s="105"/>
      <c r="H456" s="2"/>
      <c r="I456" s="25"/>
      <c r="J456" s="21"/>
      <c r="M456" s="29"/>
      <c r="N456" s="29"/>
      <c r="O456" s="29"/>
      <c r="Q456" s="89"/>
    </row>
    <row r="457" spans="1:17" s="5" customFormat="1">
      <c r="A457" s="6"/>
      <c r="B457" s="10"/>
      <c r="C457" s="192"/>
      <c r="D457" s="2"/>
      <c r="E457" s="133"/>
      <c r="F457" s="2"/>
      <c r="G457" s="105"/>
      <c r="H457" s="15"/>
      <c r="I457" s="25"/>
      <c r="J457" s="21"/>
      <c r="M457" s="29"/>
      <c r="N457" s="29"/>
      <c r="O457" s="29"/>
      <c r="Q457" s="89"/>
    </row>
    <row r="458" spans="1:17" s="5" customFormat="1">
      <c r="A458" s="6"/>
      <c r="B458" s="10"/>
      <c r="C458" s="192"/>
      <c r="D458" s="2"/>
      <c r="E458" s="133"/>
      <c r="F458" s="2"/>
      <c r="G458" s="105"/>
      <c r="H458" s="15"/>
      <c r="I458" s="25"/>
      <c r="J458" s="21"/>
      <c r="M458" s="29"/>
      <c r="N458" s="29"/>
      <c r="O458" s="29"/>
      <c r="Q458" s="89"/>
    </row>
    <row r="459" spans="1:17" s="5" customFormat="1">
      <c r="A459" s="6"/>
      <c r="B459" s="10"/>
      <c r="C459" s="74"/>
      <c r="D459" s="2"/>
      <c r="E459" s="133"/>
      <c r="F459" s="2"/>
      <c r="G459" s="105"/>
      <c r="H459" s="2"/>
      <c r="I459" s="25"/>
      <c r="J459" s="21"/>
      <c r="M459" s="29"/>
      <c r="N459" s="29"/>
      <c r="O459" s="29"/>
      <c r="Q459" s="89"/>
    </row>
    <row r="460" spans="1:17" s="5" customFormat="1">
      <c r="A460" s="6"/>
      <c r="B460" s="10"/>
      <c r="C460" s="74"/>
      <c r="D460" s="2"/>
      <c r="E460" s="133"/>
      <c r="F460" s="2"/>
      <c r="G460" s="105"/>
      <c r="H460" s="2"/>
      <c r="I460" s="25"/>
      <c r="J460" s="21"/>
      <c r="M460" s="29"/>
      <c r="N460" s="29"/>
      <c r="O460" s="29"/>
      <c r="Q460" s="89"/>
    </row>
    <row r="461" spans="1:17" ht="93.75" customHeight="1">
      <c r="B461" s="10"/>
      <c r="H461" s="175"/>
    </row>
    <row r="462" spans="1:17">
      <c r="B462" s="167"/>
      <c r="H462" s="175"/>
    </row>
    <row r="463" spans="1:17">
      <c r="B463" s="167"/>
      <c r="C463" s="173"/>
      <c r="H463" s="132"/>
      <c r="Q463" s="198"/>
    </row>
    <row r="464" spans="1:17">
      <c r="B464" s="167"/>
      <c r="H464" s="132"/>
      <c r="Q464" s="198"/>
    </row>
    <row r="465" spans="2:17" ht="112.5" customHeight="1">
      <c r="B465" s="10"/>
      <c r="H465" s="175"/>
    </row>
    <row r="466" spans="2:17">
      <c r="B466" s="167"/>
      <c r="H466" s="175"/>
    </row>
    <row r="467" spans="2:17">
      <c r="B467" s="167"/>
      <c r="C467" s="173"/>
      <c r="H467" s="132"/>
      <c r="Q467" s="198"/>
    </row>
    <row r="468" spans="2:17">
      <c r="B468" s="167"/>
      <c r="H468" s="132"/>
      <c r="J468" s="199"/>
      <c r="Q468" s="198"/>
    </row>
    <row r="469" spans="2:17" ht="81.75" customHeight="1">
      <c r="B469" s="10"/>
      <c r="H469" s="175"/>
    </row>
    <row r="470" spans="2:17">
      <c r="B470" s="167"/>
      <c r="H470" s="175"/>
    </row>
    <row r="471" spans="2:17">
      <c r="B471" s="167"/>
      <c r="C471" s="173"/>
      <c r="H471" s="132"/>
      <c r="Q471" s="198"/>
    </row>
    <row r="472" spans="2:17">
      <c r="B472" s="167"/>
      <c r="H472" s="132"/>
      <c r="Q472" s="198"/>
    </row>
    <row r="473" spans="2:17">
      <c r="B473" s="167"/>
      <c r="H473" s="132"/>
      <c r="Q473" s="198"/>
    </row>
    <row r="474" spans="2:17" ht="28.5" customHeight="1">
      <c r="B474" s="10"/>
      <c r="H474" s="175"/>
    </row>
    <row r="475" spans="2:17">
      <c r="B475" s="167"/>
      <c r="H475" s="175"/>
    </row>
    <row r="476" spans="2:17">
      <c r="B476" s="167"/>
      <c r="C476" s="173"/>
      <c r="H476" s="132"/>
      <c r="Q476" s="198"/>
    </row>
    <row r="477" spans="2:17">
      <c r="B477" s="167"/>
      <c r="C477" s="173"/>
      <c r="H477" s="132"/>
      <c r="I477" s="136"/>
      <c r="J477" s="136"/>
      <c r="M477" s="136"/>
      <c r="N477" s="136"/>
      <c r="O477" s="136"/>
    </row>
    <row r="478" spans="2:17" ht="84" customHeight="1">
      <c r="B478" s="10"/>
      <c r="H478" s="175"/>
    </row>
    <row r="479" spans="2:17">
      <c r="B479" s="167"/>
      <c r="H479" s="175"/>
    </row>
    <row r="480" spans="2:17">
      <c r="B480" s="167"/>
      <c r="C480" s="173"/>
      <c r="H480" s="132"/>
      <c r="Q480" s="198"/>
    </row>
    <row r="481" spans="1:17">
      <c r="B481" s="167"/>
      <c r="C481" s="173"/>
      <c r="H481" s="132"/>
      <c r="Q481" s="198"/>
    </row>
    <row r="482" spans="1:17">
      <c r="B482" s="10"/>
      <c r="H482" s="175"/>
    </row>
    <row r="483" spans="1:17">
      <c r="B483" s="167"/>
      <c r="H483" s="175"/>
    </row>
    <row r="484" spans="1:17">
      <c r="B484" s="167"/>
      <c r="C484" s="173"/>
      <c r="H484" s="132"/>
      <c r="Q484" s="198"/>
    </row>
    <row r="485" spans="1:17">
      <c r="B485" s="167"/>
      <c r="C485" s="173"/>
      <c r="H485" s="132"/>
      <c r="Q485" s="198"/>
    </row>
    <row r="486" spans="1:17">
      <c r="B486" s="10"/>
      <c r="H486" s="175"/>
    </row>
    <row r="487" spans="1:17">
      <c r="B487" s="167"/>
      <c r="H487" s="175"/>
    </row>
    <row r="488" spans="1:17">
      <c r="B488" s="167"/>
      <c r="C488" s="173"/>
      <c r="H488" s="132"/>
      <c r="Q488" s="198"/>
    </row>
    <row r="489" spans="1:17" s="5" customFormat="1">
      <c r="A489" s="6"/>
      <c r="B489" s="10"/>
      <c r="C489" s="192"/>
      <c r="D489" s="2"/>
      <c r="E489" s="133"/>
      <c r="F489" s="2"/>
      <c r="G489" s="105"/>
      <c r="H489" s="2"/>
      <c r="Q489" s="89"/>
    </row>
    <row r="490" spans="1:17">
      <c r="B490" s="10"/>
      <c r="H490" s="175"/>
    </row>
    <row r="491" spans="1:17">
      <c r="B491" s="167"/>
      <c r="H491" s="175"/>
    </row>
    <row r="492" spans="1:17">
      <c r="B492" s="167"/>
      <c r="C492" s="173"/>
      <c r="H492" s="132"/>
      <c r="Q492" s="198"/>
    </row>
    <row r="493" spans="1:17">
      <c r="B493" s="167"/>
      <c r="C493" s="173"/>
      <c r="H493" s="132"/>
      <c r="Q493" s="198"/>
    </row>
    <row r="494" spans="1:17">
      <c r="B494" s="10"/>
      <c r="H494" s="175"/>
    </row>
    <row r="495" spans="1:17">
      <c r="B495" s="167"/>
      <c r="H495" s="175"/>
    </row>
    <row r="496" spans="1:17">
      <c r="B496" s="167"/>
      <c r="C496" s="173"/>
      <c r="H496" s="132"/>
      <c r="Q496" s="198"/>
    </row>
    <row r="497" spans="2:17">
      <c r="B497" s="167"/>
      <c r="C497" s="173"/>
      <c r="H497" s="132"/>
      <c r="Q497" s="198"/>
    </row>
    <row r="498" spans="2:17">
      <c r="B498" s="10"/>
      <c r="H498" s="175"/>
    </row>
    <row r="499" spans="2:17">
      <c r="B499" s="167"/>
      <c r="H499" s="175"/>
    </row>
    <row r="500" spans="2:17">
      <c r="B500" s="167"/>
      <c r="C500" s="173"/>
      <c r="H500" s="132"/>
      <c r="Q500" s="198"/>
    </row>
    <row r="501" spans="2:17">
      <c r="B501" s="167"/>
      <c r="H501" s="132"/>
      <c r="Q501" s="198"/>
    </row>
    <row r="502" spans="2:17">
      <c r="B502" s="10"/>
      <c r="H502" s="175"/>
    </row>
    <row r="503" spans="2:17">
      <c r="B503" s="167"/>
      <c r="H503" s="175"/>
    </row>
    <row r="504" spans="2:17">
      <c r="B504" s="167"/>
      <c r="C504" s="173"/>
      <c r="H504" s="132"/>
      <c r="Q504" s="198"/>
    </row>
    <row r="505" spans="2:17">
      <c r="B505" s="167"/>
      <c r="C505" s="173"/>
      <c r="H505" s="132"/>
      <c r="K505" s="153"/>
      <c r="L505" s="153"/>
      <c r="Q505" s="198"/>
    </row>
    <row r="506" spans="2:17">
      <c r="B506" s="10"/>
      <c r="H506" s="175"/>
    </row>
    <row r="507" spans="2:17">
      <c r="B507" s="167"/>
      <c r="H507" s="175"/>
    </row>
    <row r="508" spans="2:17">
      <c r="B508" s="167"/>
      <c r="C508" s="173"/>
      <c r="H508" s="132"/>
      <c r="Q508" s="198"/>
    </row>
    <row r="509" spans="2:17">
      <c r="B509" s="167"/>
      <c r="C509" s="173"/>
      <c r="H509" s="132"/>
      <c r="Q509" s="198"/>
    </row>
    <row r="510" spans="2:17">
      <c r="B510" s="10"/>
      <c r="H510" s="175"/>
    </row>
    <row r="511" spans="2:17">
      <c r="B511" s="167"/>
      <c r="H511" s="175"/>
    </row>
    <row r="512" spans="2:17">
      <c r="B512" s="167"/>
      <c r="C512" s="173"/>
      <c r="H512" s="132"/>
      <c r="Q512" s="198"/>
    </row>
    <row r="513" spans="2:17">
      <c r="B513" s="167"/>
      <c r="H513" s="132"/>
      <c r="Q513" s="198"/>
    </row>
    <row r="514" spans="2:17">
      <c r="B514" s="10"/>
      <c r="H514" s="175"/>
    </row>
    <row r="515" spans="2:17">
      <c r="B515" s="167"/>
      <c r="H515" s="175"/>
    </row>
    <row r="516" spans="2:17">
      <c r="B516" s="167"/>
      <c r="C516" s="173"/>
      <c r="H516" s="132"/>
      <c r="Q516" s="198"/>
    </row>
    <row r="517" spans="2:17">
      <c r="B517" s="167"/>
      <c r="H517" s="132"/>
      <c r="Q517" s="198"/>
    </row>
    <row r="518" spans="2:17">
      <c r="B518" s="10"/>
      <c r="H518" s="175"/>
    </row>
    <row r="519" spans="2:17">
      <c r="B519" s="167"/>
      <c r="H519" s="175"/>
    </row>
    <row r="520" spans="2:17">
      <c r="B520" s="167"/>
      <c r="C520" s="173"/>
      <c r="H520" s="132"/>
      <c r="Q520" s="198"/>
    </row>
    <row r="521" spans="2:17">
      <c r="B521" s="167"/>
      <c r="C521" s="173"/>
      <c r="H521" s="132"/>
      <c r="Q521" s="198"/>
    </row>
    <row r="522" spans="2:17">
      <c r="B522" s="10"/>
      <c r="H522" s="175"/>
    </row>
    <row r="523" spans="2:17">
      <c r="B523" s="167"/>
      <c r="H523" s="175"/>
    </row>
    <row r="524" spans="2:17">
      <c r="B524" s="167"/>
      <c r="C524" s="173"/>
      <c r="H524" s="132"/>
      <c r="Q524" s="198"/>
    </row>
    <row r="525" spans="2:17">
      <c r="B525" s="167"/>
      <c r="C525" s="173"/>
      <c r="H525" s="132"/>
      <c r="Q525" s="198"/>
    </row>
    <row r="526" spans="2:17">
      <c r="B526" s="10"/>
      <c r="H526" s="175"/>
    </row>
    <row r="527" spans="2:17">
      <c r="B527" s="167"/>
      <c r="H527" s="175"/>
    </row>
    <row r="528" spans="2:17">
      <c r="B528" s="167"/>
      <c r="C528" s="173"/>
      <c r="H528" s="132"/>
      <c r="Q528" s="198"/>
    </row>
    <row r="529" spans="2:17">
      <c r="B529" s="167"/>
      <c r="C529" s="173"/>
      <c r="H529" s="132"/>
      <c r="Q529" s="198"/>
    </row>
    <row r="530" spans="2:17">
      <c r="B530" s="10"/>
      <c r="H530" s="175"/>
    </row>
    <row r="531" spans="2:17">
      <c r="B531" s="167"/>
      <c r="H531" s="175"/>
    </row>
    <row r="532" spans="2:17">
      <c r="B532" s="167"/>
      <c r="C532" s="173"/>
      <c r="H532" s="132"/>
      <c r="Q532" s="198"/>
    </row>
    <row r="533" spans="2:17">
      <c r="B533" s="167"/>
      <c r="H533" s="132"/>
      <c r="Q533" s="198"/>
    </row>
    <row r="534" spans="2:17">
      <c r="B534" s="10"/>
      <c r="H534" s="175"/>
    </row>
    <row r="535" spans="2:17">
      <c r="B535" s="167"/>
      <c r="H535" s="175"/>
    </row>
    <row r="536" spans="2:17">
      <c r="B536" s="167"/>
      <c r="C536" s="173"/>
      <c r="H536" s="132"/>
      <c r="Q536" s="198"/>
    </row>
    <row r="537" spans="2:17">
      <c r="B537" s="167"/>
      <c r="H537" s="132"/>
      <c r="Q537" s="198"/>
    </row>
    <row r="538" spans="2:17">
      <c r="B538" s="10"/>
      <c r="H538" s="175"/>
    </row>
    <row r="539" spans="2:17">
      <c r="B539" s="167"/>
      <c r="H539" s="175"/>
    </row>
    <row r="540" spans="2:17">
      <c r="B540" s="167"/>
      <c r="C540" s="173"/>
      <c r="H540" s="132"/>
      <c r="Q540" s="198"/>
    </row>
    <row r="541" spans="2:17">
      <c r="B541" s="167"/>
      <c r="C541" s="173"/>
      <c r="H541" s="132"/>
      <c r="Q541" s="198"/>
    </row>
    <row r="542" spans="2:17" ht="96" customHeight="1">
      <c r="B542" s="10"/>
      <c r="H542" s="175"/>
    </row>
    <row r="543" spans="2:17">
      <c r="B543" s="167"/>
      <c r="H543" s="175"/>
    </row>
    <row r="544" spans="2:17">
      <c r="B544" s="167"/>
      <c r="C544" s="173"/>
      <c r="H544" s="132"/>
      <c r="Q544" s="198"/>
    </row>
    <row r="545" spans="2:17">
      <c r="B545" s="167"/>
      <c r="C545" s="173"/>
      <c r="H545" s="132"/>
      <c r="Q545" s="198"/>
    </row>
    <row r="546" spans="2:17">
      <c r="B546" s="10"/>
      <c r="H546" s="175"/>
    </row>
    <row r="547" spans="2:17">
      <c r="B547" s="167"/>
      <c r="H547" s="175"/>
    </row>
    <row r="548" spans="2:17">
      <c r="B548" s="167"/>
      <c r="C548" s="173"/>
      <c r="H548" s="132"/>
      <c r="Q548" s="198"/>
    </row>
    <row r="549" spans="2:17">
      <c r="B549" s="167"/>
      <c r="H549" s="132"/>
      <c r="Q549" s="198"/>
    </row>
    <row r="550" spans="2:17">
      <c r="B550" s="10"/>
      <c r="H550" s="175"/>
    </row>
    <row r="551" spans="2:17">
      <c r="B551" s="167"/>
      <c r="H551" s="175"/>
    </row>
    <row r="552" spans="2:17">
      <c r="B552" s="167"/>
      <c r="C552" s="173"/>
      <c r="H552" s="132"/>
      <c r="Q552" s="198"/>
    </row>
    <row r="553" spans="2:17">
      <c r="B553" s="167"/>
      <c r="C553" s="173"/>
      <c r="H553" s="132"/>
      <c r="Q553" s="198"/>
    </row>
    <row r="554" spans="2:17">
      <c r="B554" s="10"/>
      <c r="H554" s="175"/>
    </row>
    <row r="555" spans="2:17">
      <c r="B555" s="167"/>
      <c r="H555" s="175"/>
    </row>
    <row r="556" spans="2:17">
      <c r="B556" s="167"/>
      <c r="C556" s="173"/>
      <c r="H556" s="132"/>
      <c r="Q556" s="198"/>
    </row>
    <row r="557" spans="2:17">
      <c r="B557" s="167"/>
      <c r="C557" s="173"/>
      <c r="H557" s="132"/>
      <c r="Q557" s="198"/>
    </row>
    <row r="558" spans="2:17">
      <c r="B558" s="10"/>
      <c r="H558" s="175"/>
    </row>
    <row r="559" spans="2:17">
      <c r="B559" s="167"/>
      <c r="H559" s="175"/>
    </row>
    <row r="560" spans="2:17">
      <c r="B560" s="167"/>
      <c r="C560" s="173"/>
      <c r="H560" s="132"/>
      <c r="Q560" s="198"/>
    </row>
    <row r="561" spans="2:17">
      <c r="B561" s="167"/>
      <c r="H561" s="132"/>
      <c r="Q561" s="198"/>
    </row>
    <row r="562" spans="2:17">
      <c r="B562" s="10"/>
      <c r="H562" s="175"/>
    </row>
    <row r="563" spans="2:17">
      <c r="B563" s="167"/>
      <c r="H563" s="175"/>
    </row>
    <row r="564" spans="2:17">
      <c r="B564" s="167"/>
      <c r="C564" s="173"/>
      <c r="H564" s="132"/>
      <c r="Q564" s="198"/>
    </row>
    <row r="565" spans="2:17">
      <c r="B565" s="167"/>
      <c r="C565" s="173"/>
      <c r="H565" s="132"/>
      <c r="Q565" s="198"/>
    </row>
    <row r="566" spans="2:17">
      <c r="B566" s="10"/>
      <c r="H566" s="175"/>
    </row>
    <row r="567" spans="2:17">
      <c r="B567" s="167"/>
      <c r="H567" s="175"/>
    </row>
    <row r="568" spans="2:17">
      <c r="B568" s="167"/>
      <c r="C568" s="173"/>
      <c r="H568" s="132"/>
      <c r="Q568" s="198"/>
    </row>
    <row r="569" spans="2:17">
      <c r="B569" s="167"/>
      <c r="H569" s="132"/>
      <c r="Q569" s="198"/>
    </row>
    <row r="570" spans="2:17">
      <c r="B570" s="10"/>
      <c r="H570" s="175"/>
    </row>
    <row r="571" spans="2:17">
      <c r="B571" s="167"/>
      <c r="H571" s="175"/>
    </row>
    <row r="572" spans="2:17">
      <c r="B572" s="167"/>
      <c r="C572" s="173"/>
      <c r="H572" s="132"/>
      <c r="Q572" s="198"/>
    </row>
    <row r="573" spans="2:17">
      <c r="B573" s="167"/>
      <c r="C573" s="173"/>
      <c r="H573" s="132"/>
      <c r="Q573" s="198"/>
    </row>
    <row r="574" spans="2:17">
      <c r="B574" s="10"/>
      <c r="H574" s="175"/>
    </row>
    <row r="575" spans="2:17">
      <c r="B575" s="167"/>
      <c r="H575" s="175"/>
    </row>
    <row r="576" spans="2:17">
      <c r="B576" s="167"/>
      <c r="C576" s="173"/>
      <c r="H576" s="132"/>
      <c r="Q576" s="198"/>
    </row>
    <row r="577" spans="2:17">
      <c r="B577" s="167"/>
      <c r="H577" s="132"/>
      <c r="Q577" s="198"/>
    </row>
    <row r="578" spans="2:17">
      <c r="B578" s="10"/>
      <c r="H578" s="175"/>
    </row>
    <row r="579" spans="2:17">
      <c r="B579" s="167"/>
      <c r="H579" s="175"/>
    </row>
    <row r="580" spans="2:17">
      <c r="B580" s="167"/>
      <c r="C580" s="173"/>
      <c r="H580" s="132"/>
      <c r="Q580" s="198"/>
    </row>
    <row r="581" spans="2:17">
      <c r="B581" s="167"/>
      <c r="C581" s="173"/>
      <c r="H581" s="132"/>
      <c r="Q581" s="198"/>
    </row>
    <row r="582" spans="2:17">
      <c r="B582" s="10"/>
      <c r="H582" s="175"/>
    </row>
    <row r="583" spans="2:17">
      <c r="B583" s="167"/>
      <c r="H583" s="175"/>
    </row>
    <row r="584" spans="2:17">
      <c r="B584" s="167"/>
      <c r="C584" s="173"/>
      <c r="H584" s="132"/>
      <c r="Q584" s="198"/>
    </row>
    <row r="585" spans="2:17">
      <c r="B585" s="167"/>
      <c r="H585" s="132"/>
      <c r="Q585" s="198"/>
    </row>
    <row r="586" spans="2:17">
      <c r="B586" s="10"/>
      <c r="H586" s="175"/>
    </row>
    <row r="587" spans="2:17">
      <c r="B587" s="167"/>
      <c r="H587" s="175"/>
    </row>
    <row r="588" spans="2:17">
      <c r="B588" s="167"/>
      <c r="C588" s="173"/>
      <c r="H588" s="132"/>
      <c r="Q588" s="198"/>
    </row>
    <row r="589" spans="2:17">
      <c r="B589" s="167"/>
      <c r="C589" s="173"/>
      <c r="H589" s="132"/>
      <c r="Q589" s="198"/>
    </row>
    <row r="590" spans="2:17">
      <c r="B590" s="10"/>
      <c r="H590" s="175"/>
    </row>
    <row r="591" spans="2:17">
      <c r="B591" s="167"/>
      <c r="H591" s="175"/>
    </row>
    <row r="592" spans="2:17">
      <c r="B592" s="167"/>
      <c r="C592" s="173"/>
      <c r="H592" s="132"/>
      <c r="Q592" s="198"/>
    </row>
    <row r="593" spans="1:17">
      <c r="B593" s="167"/>
      <c r="C593" s="173"/>
      <c r="H593" s="132"/>
      <c r="Q593" s="198"/>
    </row>
    <row r="594" spans="1:17">
      <c r="B594" s="10"/>
      <c r="H594" s="175"/>
    </row>
    <row r="595" spans="1:17">
      <c r="B595" s="167"/>
      <c r="H595" s="175"/>
    </row>
    <row r="596" spans="1:17">
      <c r="B596" s="167"/>
      <c r="C596" s="173"/>
      <c r="H596" s="132"/>
      <c r="Q596" s="198"/>
    </row>
    <row r="597" spans="1:17">
      <c r="B597" s="167"/>
      <c r="C597" s="173"/>
      <c r="H597" s="132"/>
      <c r="Q597" s="198"/>
    </row>
    <row r="598" spans="1:17">
      <c r="B598" s="10"/>
      <c r="H598" s="175"/>
    </row>
    <row r="599" spans="1:17">
      <c r="B599" s="167"/>
      <c r="H599" s="175"/>
    </row>
    <row r="600" spans="1:17">
      <c r="B600" s="167"/>
      <c r="C600" s="173"/>
      <c r="H600" s="132"/>
      <c r="Q600" s="198"/>
    </row>
    <row r="601" spans="1:17">
      <c r="B601" s="167"/>
      <c r="C601" s="173"/>
      <c r="H601" s="132"/>
      <c r="Q601" s="198"/>
    </row>
    <row r="602" spans="1:17">
      <c r="B602" s="10"/>
      <c r="H602" s="175"/>
    </row>
    <row r="603" spans="1:17">
      <c r="B603" s="167"/>
      <c r="H603" s="175"/>
    </row>
    <row r="604" spans="1:17">
      <c r="B604" s="167"/>
      <c r="C604" s="173"/>
      <c r="H604" s="132"/>
      <c r="Q604" s="198"/>
    </row>
    <row r="605" spans="1:17">
      <c r="B605" s="167"/>
      <c r="C605" s="173"/>
      <c r="H605" s="132"/>
    </row>
    <row r="606" spans="1:17">
      <c r="A606" s="6"/>
      <c r="B606" s="10"/>
      <c r="C606" s="75"/>
      <c r="D606" s="2"/>
      <c r="F606" s="2"/>
      <c r="G606" s="94"/>
      <c r="H606" s="15"/>
      <c r="Q606" s="89"/>
    </row>
    <row r="607" spans="1:17">
      <c r="A607" s="6"/>
      <c r="B607" s="10"/>
      <c r="C607" s="2"/>
      <c r="D607" s="2"/>
      <c r="F607" s="2"/>
      <c r="G607" s="94"/>
      <c r="H607" s="2"/>
      <c r="Q607" s="89"/>
    </row>
    <row r="608" spans="1:17">
      <c r="A608" s="6"/>
      <c r="B608" s="10"/>
      <c r="C608" s="4"/>
      <c r="D608" s="2"/>
      <c r="F608" s="2"/>
      <c r="G608" s="89"/>
      <c r="H608" s="2"/>
      <c r="Q608" s="89"/>
    </row>
    <row r="609" spans="1:17">
      <c r="B609" s="167"/>
      <c r="H609" s="132"/>
    </row>
    <row r="610" spans="1:17" ht="81.2" customHeight="1">
      <c r="B610" s="189"/>
      <c r="H610" s="175"/>
    </row>
    <row r="611" spans="1:17">
      <c r="B611" s="189"/>
      <c r="H611" s="175"/>
    </row>
    <row r="612" spans="1:17">
      <c r="B612" s="167"/>
      <c r="C612" s="173"/>
      <c r="H612" s="132"/>
      <c r="K612" s="190"/>
    </row>
    <row r="613" spans="1:17">
      <c r="B613" s="167"/>
      <c r="H613" s="175"/>
      <c r="I613" s="136"/>
      <c r="J613" s="136"/>
      <c r="M613" s="136"/>
      <c r="N613" s="136"/>
      <c r="O613" s="136"/>
    </row>
    <row r="614" spans="1:17">
      <c r="B614" s="167"/>
      <c r="H614" s="175"/>
      <c r="I614" s="136"/>
      <c r="J614" s="136"/>
      <c r="M614" s="136"/>
      <c r="N614" s="136"/>
      <c r="O614" s="136"/>
    </row>
    <row r="615" spans="1:17">
      <c r="B615" s="167"/>
      <c r="H615" s="175"/>
      <c r="I615" s="136"/>
      <c r="J615" s="136"/>
      <c r="M615" s="136"/>
      <c r="N615" s="136"/>
      <c r="O615" s="136"/>
    </row>
    <row r="616" spans="1:17">
      <c r="B616" s="167"/>
      <c r="C616" s="173"/>
      <c r="H616" s="132"/>
      <c r="I616" s="136"/>
      <c r="J616" s="136"/>
      <c r="M616" s="136"/>
      <c r="N616" s="136"/>
      <c r="O616" s="136"/>
    </row>
    <row r="617" spans="1:17">
      <c r="B617" s="167"/>
      <c r="C617" s="173"/>
      <c r="H617" s="132"/>
      <c r="I617" s="136"/>
      <c r="J617" s="136"/>
      <c r="M617" s="136"/>
      <c r="N617" s="136"/>
      <c r="O617" s="136"/>
    </row>
    <row r="618" spans="1:17">
      <c r="B618" s="167"/>
      <c r="H618" s="175"/>
      <c r="I618" s="136"/>
      <c r="J618" s="136"/>
      <c r="M618" s="136"/>
      <c r="N618" s="136"/>
      <c r="O618" s="136"/>
    </row>
    <row r="619" spans="1:17">
      <c r="B619" s="167"/>
      <c r="H619" s="175"/>
      <c r="I619" s="136"/>
      <c r="J619" s="136"/>
      <c r="M619" s="136"/>
      <c r="N619" s="136"/>
      <c r="O619" s="136"/>
    </row>
    <row r="620" spans="1:17">
      <c r="B620" s="167"/>
      <c r="C620" s="173"/>
      <c r="H620" s="132"/>
      <c r="I620" s="136"/>
      <c r="J620" s="136"/>
      <c r="M620" s="136"/>
      <c r="N620" s="136"/>
      <c r="O620" s="136"/>
    </row>
    <row r="621" spans="1:17">
      <c r="B621" s="167"/>
      <c r="H621" s="132"/>
      <c r="I621" s="136"/>
      <c r="J621" s="136"/>
      <c r="M621" s="136"/>
      <c r="N621" s="136"/>
      <c r="O621" s="136"/>
    </row>
    <row r="622" spans="1:17" s="5" customFormat="1">
      <c r="A622" s="6"/>
      <c r="B622" s="10"/>
      <c r="C622" s="2"/>
      <c r="D622" s="2"/>
      <c r="E622" s="133"/>
      <c r="F622" s="2"/>
      <c r="G622" s="105"/>
      <c r="H622" s="15"/>
      <c r="Q622" s="89"/>
    </row>
    <row r="623" spans="1:17" s="5" customFormat="1">
      <c r="A623" s="6"/>
      <c r="B623" s="10"/>
      <c r="C623" s="2"/>
      <c r="D623" s="2"/>
      <c r="E623" s="133"/>
      <c r="F623" s="2"/>
      <c r="G623" s="105"/>
      <c r="H623" s="15"/>
      <c r="Q623" s="89"/>
    </row>
    <row r="624" spans="1:17" s="5" customFormat="1">
      <c r="A624" s="6"/>
      <c r="B624" s="10"/>
      <c r="C624" s="4"/>
      <c r="D624" s="2"/>
      <c r="E624" s="133"/>
      <c r="F624" s="2"/>
      <c r="G624" s="105"/>
      <c r="H624" s="2"/>
      <c r="Q624" s="89"/>
    </row>
    <row r="625" spans="1:17" s="5" customFormat="1">
      <c r="A625" s="6"/>
      <c r="B625" s="10"/>
      <c r="C625" s="4"/>
      <c r="D625" s="2"/>
      <c r="E625" s="133"/>
      <c r="F625" s="2"/>
      <c r="G625" s="105"/>
      <c r="H625" s="2"/>
      <c r="Q625" s="89"/>
    </row>
    <row r="626" spans="1:17" s="5" customFormat="1">
      <c r="A626" s="6"/>
      <c r="B626" s="10"/>
      <c r="C626" s="2"/>
      <c r="D626" s="2"/>
      <c r="E626" s="133"/>
      <c r="F626" s="2"/>
      <c r="G626" s="105"/>
      <c r="H626" s="15"/>
      <c r="Q626" s="89"/>
    </row>
    <row r="627" spans="1:17" s="5" customFormat="1">
      <c r="A627" s="6"/>
      <c r="B627" s="10"/>
      <c r="C627" s="2"/>
      <c r="D627" s="2"/>
      <c r="E627" s="133"/>
      <c r="F627" s="2"/>
      <c r="G627" s="105"/>
      <c r="H627" s="15"/>
      <c r="Q627" s="89"/>
    </row>
    <row r="628" spans="1:17" s="5" customFormat="1">
      <c r="A628" s="6"/>
      <c r="B628" s="10"/>
      <c r="C628" s="76"/>
      <c r="D628" s="2"/>
      <c r="E628" s="133"/>
      <c r="F628" s="2"/>
      <c r="G628" s="105"/>
      <c r="H628" s="2"/>
      <c r="Q628" s="89"/>
    </row>
    <row r="629" spans="1:17" s="5" customFormat="1">
      <c r="A629" s="6"/>
      <c r="B629" s="10"/>
      <c r="C629" s="4"/>
      <c r="D629" s="2"/>
      <c r="E629" s="133"/>
      <c r="F629" s="2"/>
      <c r="G629" s="105"/>
      <c r="H629" s="2"/>
      <c r="Q629" s="89"/>
    </row>
    <row r="630" spans="1:17" s="5" customFormat="1">
      <c r="A630" s="6"/>
      <c r="B630" s="10"/>
      <c r="C630" s="2"/>
      <c r="D630" s="2"/>
      <c r="E630" s="133"/>
      <c r="F630" s="2"/>
      <c r="G630" s="105"/>
      <c r="H630" s="15"/>
      <c r="Q630" s="89"/>
    </row>
    <row r="631" spans="1:17" s="5" customFormat="1">
      <c r="A631" s="6"/>
      <c r="B631" s="10"/>
      <c r="C631" s="2"/>
      <c r="D631" s="2"/>
      <c r="E631" s="133"/>
      <c r="F631" s="2"/>
      <c r="G631" s="105"/>
      <c r="H631" s="15"/>
      <c r="Q631" s="89"/>
    </row>
    <row r="632" spans="1:17" s="5" customFormat="1">
      <c r="A632" s="6"/>
      <c r="B632" s="10"/>
      <c r="C632" s="4"/>
      <c r="D632" s="2"/>
      <c r="E632" s="133"/>
      <c r="F632" s="2"/>
      <c r="G632" s="105"/>
      <c r="H632" s="2"/>
      <c r="Q632" s="89"/>
    </row>
    <row r="633" spans="1:17" s="5" customFormat="1">
      <c r="A633" s="6"/>
      <c r="B633" s="10"/>
      <c r="C633" s="4"/>
      <c r="D633" s="2"/>
      <c r="E633" s="133"/>
      <c r="F633" s="2"/>
      <c r="G633" s="105"/>
      <c r="H633" s="2"/>
      <c r="Q633" s="89"/>
    </row>
    <row r="634" spans="1:17" s="5" customFormat="1" ht="80.25" customHeight="1">
      <c r="A634" s="6"/>
      <c r="B634" s="10"/>
      <c r="C634" s="2"/>
      <c r="D634" s="2"/>
      <c r="E634" s="133"/>
      <c r="F634" s="2"/>
      <c r="G634" s="105"/>
      <c r="H634" s="15"/>
      <c r="Q634" s="89"/>
    </row>
    <row r="635" spans="1:17" s="5" customFormat="1">
      <c r="A635" s="6"/>
      <c r="B635" s="10"/>
      <c r="C635" s="2"/>
      <c r="D635" s="2"/>
      <c r="E635" s="133"/>
      <c r="F635" s="2"/>
      <c r="G635" s="105"/>
      <c r="H635" s="15"/>
      <c r="Q635" s="89"/>
    </row>
    <row r="636" spans="1:17" s="5" customFormat="1">
      <c r="A636" s="6"/>
      <c r="B636" s="10"/>
      <c r="C636" s="4"/>
      <c r="D636" s="2"/>
      <c r="E636" s="133"/>
      <c r="F636" s="2"/>
      <c r="G636" s="105"/>
      <c r="H636" s="2"/>
      <c r="Q636" s="89"/>
    </row>
    <row r="637" spans="1:17" s="5" customFormat="1">
      <c r="A637" s="6"/>
      <c r="B637" s="10"/>
      <c r="C637" s="2"/>
      <c r="D637" s="2"/>
      <c r="E637" s="133"/>
      <c r="F637" s="2"/>
      <c r="G637" s="105"/>
      <c r="H637" s="2"/>
      <c r="Q637" s="89"/>
    </row>
    <row r="638" spans="1:17" s="5" customFormat="1" ht="81.2" customHeight="1">
      <c r="A638" s="6"/>
      <c r="B638" s="10"/>
      <c r="C638" s="2"/>
      <c r="D638" s="2"/>
      <c r="E638" s="133"/>
      <c r="F638" s="2"/>
      <c r="G638" s="105"/>
      <c r="H638" s="15"/>
      <c r="Q638" s="89"/>
    </row>
    <row r="639" spans="1:17" s="5" customFormat="1">
      <c r="A639" s="6"/>
      <c r="B639" s="10"/>
      <c r="C639" s="2"/>
      <c r="D639" s="2"/>
      <c r="E639" s="133"/>
      <c r="F639" s="2"/>
      <c r="G639" s="105"/>
      <c r="H639" s="15"/>
      <c r="Q639" s="89"/>
    </row>
    <row r="640" spans="1:17" s="5" customFormat="1">
      <c r="A640" s="6"/>
      <c r="B640" s="10"/>
      <c r="C640" s="4"/>
      <c r="D640" s="2"/>
      <c r="E640" s="133"/>
      <c r="F640" s="2"/>
      <c r="G640" s="105"/>
      <c r="H640" s="2"/>
      <c r="Q640" s="89"/>
    </row>
    <row r="641" spans="1:17" s="5" customFormat="1">
      <c r="A641" s="6"/>
      <c r="B641" s="10"/>
      <c r="C641" s="4"/>
      <c r="D641" s="2"/>
      <c r="E641" s="133"/>
      <c r="F641" s="2"/>
      <c r="G641" s="105"/>
      <c r="H641" s="2"/>
      <c r="Q641" s="89"/>
    </row>
    <row r="642" spans="1:17" s="5" customFormat="1">
      <c r="A642" s="6"/>
      <c r="B642" s="10"/>
      <c r="C642" s="2"/>
      <c r="D642" s="2"/>
      <c r="E642" s="133"/>
      <c r="F642" s="2"/>
      <c r="G642" s="105"/>
      <c r="H642" s="15"/>
      <c r="Q642" s="89"/>
    </row>
    <row r="643" spans="1:17" s="5" customFormat="1">
      <c r="A643" s="6"/>
      <c r="B643" s="10"/>
      <c r="C643" s="2"/>
      <c r="D643" s="2"/>
      <c r="E643" s="133"/>
      <c r="F643" s="2"/>
      <c r="G643" s="105"/>
      <c r="H643" s="15"/>
      <c r="Q643" s="89"/>
    </row>
    <row r="644" spans="1:17" s="5" customFormat="1">
      <c r="A644" s="6"/>
      <c r="B644" s="10"/>
      <c r="C644" s="4"/>
      <c r="D644" s="2"/>
      <c r="E644" s="133"/>
      <c r="F644" s="2"/>
      <c r="G644" s="105"/>
      <c r="H644" s="2"/>
      <c r="K644" s="77"/>
      <c r="Q644" s="89"/>
    </row>
    <row r="645" spans="1:17" s="5" customFormat="1">
      <c r="A645" s="6"/>
      <c r="B645" s="10"/>
      <c r="C645" s="4"/>
      <c r="D645" s="2"/>
      <c r="E645" s="133"/>
      <c r="F645" s="2"/>
      <c r="G645" s="105"/>
      <c r="H645" s="2"/>
      <c r="K645" s="77"/>
      <c r="Q645" s="89"/>
    </row>
    <row r="646" spans="1:17" s="5" customFormat="1">
      <c r="A646" s="6"/>
      <c r="B646" s="10"/>
      <c r="C646" s="2"/>
      <c r="D646" s="2"/>
      <c r="E646" s="133"/>
      <c r="F646" s="2"/>
      <c r="G646" s="105"/>
      <c r="H646" s="15"/>
      <c r="J646" s="10"/>
      <c r="Q646" s="89"/>
    </row>
    <row r="647" spans="1:17" s="5" customFormat="1">
      <c r="A647" s="6"/>
      <c r="B647" s="10"/>
      <c r="C647" s="2"/>
      <c r="D647" s="2"/>
      <c r="E647" s="133"/>
      <c r="F647" s="2"/>
      <c r="G647" s="105"/>
      <c r="H647" s="15"/>
      <c r="Q647" s="89"/>
    </row>
    <row r="648" spans="1:17" s="5" customFormat="1">
      <c r="A648" s="6"/>
      <c r="B648" s="10"/>
      <c r="C648" s="4"/>
      <c r="D648" s="2"/>
      <c r="E648" s="133"/>
      <c r="F648" s="2"/>
      <c r="G648" s="105"/>
      <c r="H648" s="2"/>
      <c r="K648" s="77"/>
      <c r="Q648" s="89"/>
    </row>
    <row r="649" spans="1:17" s="5" customFormat="1">
      <c r="A649" s="6"/>
      <c r="B649" s="10"/>
      <c r="C649" s="4"/>
      <c r="D649" s="2"/>
      <c r="E649" s="133"/>
      <c r="F649" s="2"/>
      <c r="G649" s="105"/>
      <c r="H649" s="2"/>
      <c r="K649" s="77"/>
      <c r="Q649" s="89"/>
    </row>
    <row r="650" spans="1:17" s="5" customFormat="1">
      <c r="A650" s="6"/>
      <c r="B650" s="10"/>
      <c r="C650" s="2"/>
      <c r="D650" s="2"/>
      <c r="E650" s="133"/>
      <c r="F650" s="2"/>
      <c r="G650" s="105"/>
      <c r="H650" s="15"/>
      <c r="J650" s="10"/>
      <c r="Q650" s="89"/>
    </row>
    <row r="651" spans="1:17" s="5" customFormat="1">
      <c r="A651" s="6"/>
      <c r="B651" s="10"/>
      <c r="C651" s="2"/>
      <c r="D651" s="2"/>
      <c r="E651" s="133"/>
      <c r="F651" s="2"/>
      <c r="G651" s="105"/>
      <c r="H651" s="15"/>
      <c r="Q651" s="89"/>
    </row>
    <row r="652" spans="1:17" s="5" customFormat="1">
      <c r="A652" s="6"/>
      <c r="B652" s="10"/>
      <c r="C652" s="4"/>
      <c r="D652" s="2"/>
      <c r="E652" s="133"/>
      <c r="F652" s="2"/>
      <c r="G652" s="105"/>
      <c r="H652" s="2"/>
      <c r="K652" s="77"/>
      <c r="Q652" s="89"/>
    </row>
    <row r="653" spans="1:17" s="5" customFormat="1">
      <c r="A653" s="6"/>
      <c r="B653" s="10"/>
      <c r="C653" s="4"/>
      <c r="D653" s="2"/>
      <c r="E653" s="133"/>
      <c r="F653" s="2"/>
      <c r="G653" s="105"/>
      <c r="H653" s="2"/>
      <c r="K653" s="77"/>
      <c r="Q653" s="89"/>
    </row>
    <row r="654" spans="1:17" s="5" customFormat="1" ht="96.75" customHeight="1">
      <c r="A654" s="6"/>
      <c r="B654" s="10"/>
      <c r="C654" s="2"/>
      <c r="D654" s="2"/>
      <c r="E654" s="133"/>
      <c r="F654" s="2"/>
      <c r="G654" s="105"/>
      <c r="H654" s="15"/>
      <c r="Q654" s="89"/>
    </row>
    <row r="655" spans="1:17" s="5" customFormat="1">
      <c r="A655" s="6"/>
      <c r="B655" s="10"/>
      <c r="C655" s="2"/>
      <c r="D655" s="2"/>
      <c r="E655" s="133"/>
      <c r="F655" s="2"/>
      <c r="G655" s="105"/>
      <c r="H655" s="15"/>
      <c r="Q655" s="89"/>
    </row>
    <row r="656" spans="1:17" s="5" customFormat="1">
      <c r="A656" s="6"/>
      <c r="B656" s="10"/>
      <c r="C656" s="4"/>
      <c r="D656" s="2"/>
      <c r="E656" s="133"/>
      <c r="F656" s="2"/>
      <c r="G656" s="105"/>
      <c r="H656" s="2"/>
      <c r="K656" s="77"/>
      <c r="Q656" s="89"/>
    </row>
    <row r="657" spans="1:17" s="5" customFormat="1">
      <c r="A657" s="6"/>
      <c r="B657" s="10"/>
      <c r="C657" s="2"/>
      <c r="D657" s="2"/>
      <c r="E657" s="133"/>
      <c r="F657" s="2"/>
      <c r="G657" s="105"/>
      <c r="H657" s="2"/>
      <c r="K657" s="77"/>
      <c r="Q657" s="89"/>
    </row>
    <row r="658" spans="1:17" s="5" customFormat="1" ht="105" customHeight="1">
      <c r="A658" s="6"/>
      <c r="B658" s="10"/>
      <c r="C658" s="2"/>
      <c r="D658" s="2"/>
      <c r="E658" s="133"/>
      <c r="F658" s="2"/>
      <c r="G658" s="105"/>
      <c r="H658" s="15"/>
      <c r="Q658" s="89"/>
    </row>
    <row r="659" spans="1:17" s="5" customFormat="1">
      <c r="A659" s="6"/>
      <c r="B659" s="10"/>
      <c r="C659" s="2"/>
      <c r="D659" s="2"/>
      <c r="E659" s="133"/>
      <c r="F659" s="2"/>
      <c r="G659" s="105"/>
      <c r="H659" s="15"/>
      <c r="Q659" s="89"/>
    </row>
    <row r="660" spans="1:17" s="5" customFormat="1">
      <c r="A660" s="6"/>
      <c r="B660" s="10"/>
      <c r="C660" s="4"/>
      <c r="D660" s="2"/>
      <c r="E660" s="133"/>
      <c r="F660" s="2"/>
      <c r="G660" s="105"/>
      <c r="H660" s="2"/>
      <c r="K660" s="77"/>
      <c r="Q660" s="89"/>
    </row>
    <row r="661" spans="1:17">
      <c r="B661" s="167"/>
      <c r="H661" s="175"/>
      <c r="I661" s="136"/>
      <c r="J661" s="136"/>
      <c r="M661" s="136"/>
      <c r="N661" s="136"/>
      <c r="O661" s="136"/>
    </row>
    <row r="662" spans="1:17" s="5" customFormat="1">
      <c r="A662" s="6"/>
      <c r="B662" s="10"/>
      <c r="C662" s="2"/>
      <c r="D662" s="2"/>
      <c r="E662" s="133"/>
      <c r="F662" s="2"/>
      <c r="G662" s="105"/>
      <c r="H662" s="15"/>
      <c r="Q662" s="89"/>
    </row>
    <row r="663" spans="1:17" s="5" customFormat="1">
      <c r="A663" s="6"/>
      <c r="B663" s="10"/>
      <c r="C663" s="2"/>
      <c r="D663" s="2"/>
      <c r="E663" s="133"/>
      <c r="F663" s="2"/>
      <c r="G663" s="105"/>
      <c r="H663" s="15"/>
      <c r="Q663" s="89"/>
    </row>
    <row r="664" spans="1:17" s="5" customFormat="1">
      <c r="A664" s="6"/>
      <c r="B664" s="10"/>
      <c r="C664" s="76"/>
      <c r="D664" s="2"/>
      <c r="E664" s="133"/>
      <c r="F664" s="2"/>
      <c r="G664" s="105"/>
      <c r="H664" s="2"/>
      <c r="Q664" s="89"/>
    </row>
    <row r="665" spans="1:17" s="5" customFormat="1">
      <c r="A665" s="6"/>
      <c r="B665" s="10"/>
      <c r="C665" s="76"/>
      <c r="D665" s="2"/>
      <c r="E665" s="133"/>
      <c r="F665" s="2"/>
      <c r="G665" s="105"/>
      <c r="H665" s="2"/>
      <c r="Q665" s="89"/>
    </row>
    <row r="666" spans="1:17" s="5" customFormat="1">
      <c r="A666" s="6"/>
      <c r="B666" s="10"/>
      <c r="C666" s="2"/>
      <c r="D666" s="2"/>
      <c r="E666" s="133"/>
      <c r="F666" s="2"/>
      <c r="G666" s="105"/>
      <c r="H666" s="15"/>
      <c r="Q666" s="89"/>
    </row>
    <row r="667" spans="1:17" s="5" customFormat="1">
      <c r="A667" s="6"/>
      <c r="B667" s="10"/>
      <c r="C667" s="2"/>
      <c r="D667" s="2"/>
      <c r="E667" s="133"/>
      <c r="F667" s="2"/>
      <c r="G667" s="105"/>
      <c r="H667" s="15"/>
      <c r="Q667" s="89"/>
    </row>
    <row r="668" spans="1:17" s="5" customFormat="1">
      <c r="A668" s="6"/>
      <c r="B668" s="10"/>
      <c r="C668" s="76"/>
      <c r="D668" s="2"/>
      <c r="E668" s="133"/>
      <c r="F668" s="2"/>
      <c r="G668" s="105"/>
      <c r="H668" s="2"/>
      <c r="Q668" s="89"/>
    </row>
    <row r="669" spans="1:17" s="5" customFormat="1">
      <c r="A669" s="6"/>
      <c r="B669" s="10"/>
      <c r="C669" s="75"/>
      <c r="D669" s="2"/>
      <c r="E669" s="133"/>
      <c r="F669" s="2"/>
      <c r="G669" s="105"/>
      <c r="H669" s="2"/>
      <c r="Q669" s="89"/>
    </row>
    <row r="670" spans="1:17" s="5" customFormat="1" ht="92.25" customHeight="1">
      <c r="A670" s="6"/>
      <c r="B670" s="10"/>
      <c r="C670" s="2"/>
      <c r="D670" s="2"/>
      <c r="E670" s="133"/>
      <c r="F670" s="2"/>
      <c r="G670" s="105"/>
      <c r="H670" s="15"/>
      <c r="Q670" s="89"/>
    </row>
    <row r="671" spans="1:17" s="5" customFormat="1">
      <c r="A671" s="6"/>
      <c r="B671" s="10"/>
      <c r="C671" s="2"/>
      <c r="D671" s="2"/>
      <c r="E671" s="133"/>
      <c r="F671" s="2"/>
      <c r="G671" s="105"/>
      <c r="H671" s="15"/>
      <c r="Q671" s="89"/>
    </row>
    <row r="672" spans="1:17" s="5" customFormat="1">
      <c r="A672" s="6"/>
      <c r="B672" s="10"/>
      <c r="C672" s="76"/>
      <c r="D672" s="2"/>
      <c r="E672" s="133"/>
      <c r="F672" s="2"/>
      <c r="G672" s="105"/>
      <c r="H672" s="2"/>
      <c r="Q672" s="89"/>
    </row>
    <row r="673" spans="1:17" s="5" customFormat="1">
      <c r="A673" s="6"/>
      <c r="B673" s="10"/>
      <c r="C673" s="76"/>
      <c r="D673" s="2"/>
      <c r="E673" s="133"/>
      <c r="F673" s="2"/>
      <c r="G673" s="105"/>
      <c r="H673" s="2"/>
      <c r="Q673" s="89"/>
    </row>
    <row r="674" spans="1:17" s="5" customFormat="1">
      <c r="A674" s="6"/>
      <c r="B674" s="10"/>
      <c r="C674" s="2"/>
      <c r="D674" s="2"/>
      <c r="E674" s="133"/>
      <c r="F674" s="2"/>
      <c r="G674" s="105"/>
      <c r="H674" s="15"/>
      <c r="Q674" s="89"/>
    </row>
    <row r="675" spans="1:17" s="5" customFormat="1">
      <c r="A675" s="6"/>
      <c r="B675" s="10"/>
      <c r="C675" s="2"/>
      <c r="D675" s="2"/>
      <c r="E675" s="133"/>
      <c r="F675" s="2"/>
      <c r="G675" s="105"/>
      <c r="H675" s="15"/>
      <c r="Q675" s="89"/>
    </row>
    <row r="676" spans="1:17" s="5" customFormat="1">
      <c r="A676" s="6"/>
      <c r="B676" s="10"/>
      <c r="C676" s="76"/>
      <c r="D676" s="2"/>
      <c r="E676" s="133"/>
      <c r="F676" s="2"/>
      <c r="G676" s="105"/>
      <c r="H676" s="2"/>
      <c r="Q676" s="89"/>
    </row>
    <row r="677" spans="1:17" s="5" customFormat="1">
      <c r="A677" s="6"/>
      <c r="B677" s="10"/>
      <c r="C677" s="76"/>
      <c r="D677" s="2"/>
      <c r="E677" s="133"/>
      <c r="F677" s="2"/>
      <c r="G677" s="105"/>
      <c r="H677" s="2"/>
      <c r="Q677" s="89"/>
    </row>
    <row r="678" spans="1:17" s="5" customFormat="1">
      <c r="A678" s="6"/>
      <c r="B678" s="10"/>
      <c r="C678" s="2"/>
      <c r="D678" s="2"/>
      <c r="E678" s="133"/>
      <c r="F678" s="2"/>
      <c r="G678" s="105"/>
      <c r="H678" s="15"/>
      <c r="Q678" s="89"/>
    </row>
    <row r="679" spans="1:17" s="5" customFormat="1">
      <c r="A679" s="6"/>
      <c r="B679" s="10"/>
      <c r="C679" s="2"/>
      <c r="D679" s="2"/>
      <c r="E679" s="133"/>
      <c r="F679" s="2"/>
      <c r="G679" s="105"/>
      <c r="H679" s="15"/>
      <c r="Q679" s="89"/>
    </row>
    <row r="680" spans="1:17" s="5" customFormat="1">
      <c r="A680" s="6"/>
      <c r="B680" s="10"/>
      <c r="C680" s="76"/>
      <c r="D680" s="2"/>
      <c r="E680" s="133"/>
      <c r="F680" s="2"/>
      <c r="G680" s="105"/>
      <c r="H680" s="2"/>
      <c r="Q680" s="94"/>
    </row>
    <row r="681" spans="1:17" s="5" customFormat="1">
      <c r="A681" s="6"/>
      <c r="B681" s="10"/>
      <c r="C681" s="76"/>
      <c r="D681" s="2"/>
      <c r="E681" s="133"/>
      <c r="F681" s="2"/>
      <c r="G681" s="105"/>
      <c r="H681" s="2"/>
      <c r="Q681" s="94"/>
    </row>
    <row r="682" spans="1:17" s="5" customFormat="1">
      <c r="A682" s="6"/>
      <c r="B682" s="10"/>
      <c r="C682" s="2"/>
      <c r="D682" s="2"/>
      <c r="E682" s="133"/>
      <c r="F682" s="2"/>
      <c r="G682" s="105"/>
      <c r="H682" s="15"/>
      <c r="Q682" s="89"/>
    </row>
    <row r="683" spans="1:17" s="5" customFormat="1">
      <c r="A683" s="6"/>
      <c r="B683" s="10"/>
      <c r="C683" s="2"/>
      <c r="D683" s="2"/>
      <c r="E683" s="133"/>
      <c r="F683" s="2"/>
      <c r="G683" s="105"/>
      <c r="H683" s="15"/>
      <c r="Q683" s="89"/>
    </row>
    <row r="684" spans="1:17" s="5" customFormat="1">
      <c r="A684" s="6"/>
      <c r="B684" s="10"/>
      <c r="C684" s="76"/>
      <c r="D684" s="2"/>
      <c r="E684" s="133"/>
      <c r="F684" s="2"/>
      <c r="G684" s="105"/>
      <c r="H684" s="2"/>
      <c r="Q684" s="89"/>
    </row>
    <row r="685" spans="1:17">
      <c r="B685" s="167"/>
      <c r="H685" s="175"/>
      <c r="I685" s="136"/>
      <c r="J685" s="136"/>
      <c r="M685" s="136"/>
      <c r="N685" s="136"/>
      <c r="O685" s="136"/>
    </row>
    <row r="686" spans="1:17">
      <c r="B686" s="167"/>
      <c r="H686" s="175"/>
    </row>
    <row r="687" spans="1:17">
      <c r="B687" s="167"/>
      <c r="H687" s="175"/>
    </row>
    <row r="688" spans="1:17">
      <c r="B688" s="167"/>
      <c r="C688" s="173"/>
      <c r="H688" s="132"/>
      <c r="Q688" s="198"/>
    </row>
    <row r="689" spans="1:17">
      <c r="B689" s="167"/>
      <c r="H689" s="175"/>
      <c r="Q689" s="188"/>
    </row>
    <row r="690" spans="1:17">
      <c r="A690" s="200"/>
      <c r="B690" s="167"/>
      <c r="H690" s="175"/>
      <c r="Q690" s="188"/>
    </row>
    <row r="691" spans="1:17">
      <c r="B691" s="167"/>
      <c r="H691" s="175"/>
      <c r="Q691" s="188"/>
    </row>
    <row r="692" spans="1:17">
      <c r="B692" s="167"/>
      <c r="C692" s="173"/>
      <c r="H692" s="132"/>
      <c r="Q692" s="201"/>
    </row>
    <row r="693" spans="1:17">
      <c r="B693" s="167"/>
      <c r="H693" s="132"/>
      <c r="Q693" s="188"/>
    </row>
    <row r="694" spans="1:17">
      <c r="A694" s="200"/>
      <c r="B694" s="167"/>
      <c r="H694" s="175"/>
      <c r="Q694" s="188"/>
    </row>
    <row r="695" spans="1:17">
      <c r="B695" s="167"/>
      <c r="H695" s="175"/>
      <c r="Q695" s="188"/>
    </row>
    <row r="696" spans="1:17">
      <c r="B696" s="167"/>
      <c r="C696" s="173"/>
      <c r="H696" s="132"/>
      <c r="Q696" s="201"/>
    </row>
    <row r="697" spans="1:17">
      <c r="B697" s="167"/>
      <c r="H697" s="132"/>
      <c r="Q697" s="201"/>
    </row>
    <row r="698" spans="1:17">
      <c r="A698" s="200"/>
      <c r="B698" s="167"/>
      <c r="H698" s="175"/>
      <c r="Q698" s="188"/>
    </row>
    <row r="699" spans="1:17">
      <c r="B699" s="167"/>
      <c r="H699" s="175"/>
      <c r="Q699" s="188"/>
    </row>
    <row r="700" spans="1:17">
      <c r="B700" s="167"/>
      <c r="C700" s="173"/>
      <c r="H700" s="132"/>
      <c r="Q700" s="201"/>
    </row>
    <row r="701" spans="1:17">
      <c r="B701" s="167"/>
      <c r="C701" s="173"/>
      <c r="H701" s="132"/>
      <c r="Q701" s="201"/>
    </row>
    <row r="702" spans="1:17">
      <c r="B702" s="167"/>
      <c r="H702" s="175"/>
    </row>
    <row r="703" spans="1:17">
      <c r="B703" s="167"/>
      <c r="H703" s="149"/>
    </row>
    <row r="704" spans="1:17">
      <c r="B704" s="167"/>
      <c r="C704" s="173"/>
      <c r="H704" s="132"/>
    </row>
    <row r="705" spans="1:17">
      <c r="B705" s="167"/>
      <c r="H705" s="132"/>
    </row>
    <row r="706" spans="1:17">
      <c r="B706" s="167"/>
      <c r="H706" s="175"/>
    </row>
    <row r="707" spans="1:17">
      <c r="B707" s="167"/>
      <c r="H707" s="149"/>
    </row>
    <row r="708" spans="1:17">
      <c r="B708" s="167"/>
      <c r="C708" s="173"/>
      <c r="H708" s="132"/>
    </row>
    <row r="709" spans="1:17">
      <c r="B709" s="167"/>
      <c r="H709" s="175"/>
    </row>
    <row r="710" spans="1:17" s="5" customFormat="1">
      <c r="A710" s="6"/>
      <c r="B710" s="10"/>
      <c r="C710" s="2"/>
      <c r="D710" s="2"/>
      <c r="E710" s="133"/>
      <c r="F710" s="2"/>
      <c r="G710" s="105"/>
      <c r="H710" s="15"/>
      <c r="Q710" s="89"/>
    </row>
    <row r="711" spans="1:17" s="5" customFormat="1">
      <c r="A711" s="6"/>
      <c r="B711" s="10"/>
      <c r="C711" s="2"/>
      <c r="D711" s="2"/>
      <c r="E711" s="133"/>
      <c r="F711" s="2"/>
      <c r="G711" s="105"/>
      <c r="H711" s="15"/>
      <c r="Q711" s="89"/>
    </row>
    <row r="712" spans="1:17" s="5" customFormat="1">
      <c r="A712" s="6"/>
      <c r="B712" s="10"/>
      <c r="C712" s="4"/>
      <c r="D712" s="2"/>
      <c r="E712" s="133"/>
      <c r="F712" s="2"/>
      <c r="G712" s="105"/>
      <c r="H712" s="2"/>
      <c r="Q712" s="89"/>
    </row>
    <row r="713" spans="1:17" s="5" customFormat="1">
      <c r="A713" s="6"/>
      <c r="B713" s="10"/>
      <c r="C713" s="4"/>
      <c r="D713" s="2"/>
      <c r="E713" s="133"/>
      <c r="F713" s="2"/>
      <c r="G713" s="105"/>
      <c r="H713" s="2"/>
      <c r="Q713" s="89"/>
    </row>
    <row r="714" spans="1:17" s="5" customFormat="1">
      <c r="A714" s="6"/>
      <c r="B714" s="10"/>
      <c r="C714" s="2"/>
      <c r="D714" s="2"/>
      <c r="E714" s="133"/>
      <c r="F714" s="2"/>
      <c r="G714" s="105"/>
      <c r="H714" s="15"/>
      <c r="Q714" s="89"/>
    </row>
    <row r="715" spans="1:17" s="5" customFormat="1">
      <c r="A715" s="6"/>
      <c r="B715" s="10"/>
      <c r="C715" s="2"/>
      <c r="D715" s="2"/>
      <c r="E715" s="133"/>
      <c r="F715" s="2"/>
      <c r="G715" s="105"/>
      <c r="H715" s="15"/>
      <c r="Q715" s="89"/>
    </row>
    <row r="716" spans="1:17" s="5" customFormat="1">
      <c r="A716" s="6"/>
      <c r="B716" s="10"/>
      <c r="C716" s="4"/>
      <c r="D716" s="2"/>
      <c r="E716" s="133"/>
      <c r="F716" s="2"/>
      <c r="G716" s="105"/>
      <c r="H716" s="2"/>
      <c r="Q716" s="94"/>
    </row>
    <row r="717" spans="1:17" s="5" customFormat="1">
      <c r="A717" s="6"/>
      <c r="B717" s="10"/>
      <c r="C717" s="2"/>
      <c r="D717" s="2"/>
      <c r="E717" s="115"/>
      <c r="F717" s="2"/>
      <c r="G717" s="105"/>
      <c r="H717" s="15"/>
      <c r="Q717" s="89"/>
    </row>
    <row r="718" spans="1:17" s="178" customFormat="1" ht="12.75">
      <c r="A718" s="141"/>
      <c r="B718" s="167"/>
      <c r="C718" s="132"/>
      <c r="D718" s="132"/>
      <c r="E718" s="133"/>
      <c r="F718" s="132"/>
      <c r="G718" s="134"/>
      <c r="H718" s="175"/>
      <c r="I718" s="176"/>
      <c r="J718" s="177"/>
      <c r="M718" s="179"/>
      <c r="N718" s="179"/>
      <c r="O718" s="179"/>
      <c r="Q718" s="135"/>
    </row>
    <row r="719" spans="1:17">
      <c r="B719" s="167"/>
      <c r="C719" s="169"/>
      <c r="D719" s="169"/>
      <c r="E719" s="172"/>
      <c r="F719" s="169"/>
      <c r="G719" s="170"/>
      <c r="H719" s="178"/>
      <c r="Q719" s="171"/>
    </row>
    <row r="720" spans="1:17">
      <c r="B720" s="167"/>
      <c r="H720" s="132"/>
    </row>
    <row r="721" spans="1:17">
      <c r="B721" s="167"/>
      <c r="H721" s="175"/>
    </row>
    <row r="722" spans="1:17">
      <c r="B722" s="148"/>
      <c r="C722" s="163"/>
      <c r="D722" s="163"/>
      <c r="E722" s="164"/>
      <c r="F722" s="163"/>
      <c r="G722" s="151"/>
      <c r="Q722" s="166"/>
    </row>
    <row r="723" spans="1:17">
      <c r="B723" s="148"/>
      <c r="C723" s="163"/>
      <c r="D723" s="163"/>
      <c r="E723" s="164"/>
      <c r="F723" s="163"/>
      <c r="G723" s="151"/>
      <c r="Q723" s="166"/>
    </row>
    <row r="724" spans="1:17">
      <c r="A724" s="11"/>
      <c r="B724" s="9"/>
      <c r="C724" s="46"/>
      <c r="D724" s="7"/>
      <c r="E724" s="109"/>
      <c r="F724" s="7"/>
      <c r="G724" s="99"/>
      <c r="H724" s="132"/>
      <c r="Q724" s="91"/>
    </row>
    <row r="725" spans="1:17">
      <c r="H725" s="175"/>
    </row>
    <row r="726" spans="1:17">
      <c r="H726" s="175"/>
    </row>
    <row r="727" spans="1:17">
      <c r="H727" s="175"/>
    </row>
    <row r="728" spans="1:17">
      <c r="B728" s="167"/>
      <c r="C728" s="173"/>
      <c r="E728" s="135"/>
      <c r="H728" s="132"/>
    </row>
    <row r="729" spans="1:17">
      <c r="B729" s="167"/>
      <c r="C729" s="173"/>
      <c r="H729" s="132"/>
    </row>
    <row r="730" spans="1:17" s="5" customFormat="1">
      <c r="A730" s="6"/>
      <c r="B730" s="3"/>
      <c r="C730" s="2"/>
      <c r="D730" s="2"/>
      <c r="E730" s="133"/>
      <c r="F730" s="2"/>
      <c r="G730" s="105"/>
      <c r="H730" s="15"/>
      <c r="I730" s="25"/>
      <c r="J730" s="21"/>
      <c r="M730" s="29"/>
      <c r="N730" s="29"/>
      <c r="O730" s="29"/>
      <c r="Q730" s="89"/>
    </row>
    <row r="731" spans="1:17" s="5" customFormat="1">
      <c r="A731" s="6"/>
      <c r="B731" s="3"/>
      <c r="C731" s="2"/>
      <c r="D731" s="2"/>
      <c r="E731" s="133"/>
      <c r="F731" s="2"/>
      <c r="G731" s="105"/>
      <c r="H731" s="15"/>
      <c r="I731" s="25"/>
      <c r="J731" s="21"/>
      <c r="M731" s="29"/>
      <c r="N731" s="29"/>
      <c r="O731" s="29"/>
      <c r="Q731" s="89"/>
    </row>
    <row r="732" spans="1:17" s="5" customFormat="1">
      <c r="A732" s="6"/>
      <c r="B732" s="10"/>
      <c r="C732" s="74"/>
      <c r="D732" s="2"/>
      <c r="E732" s="133"/>
      <c r="F732" s="2"/>
      <c r="G732" s="105"/>
      <c r="H732" s="2"/>
      <c r="I732" s="25"/>
      <c r="J732" s="21"/>
      <c r="M732" s="29"/>
      <c r="N732" s="29"/>
      <c r="O732" s="29"/>
      <c r="Q732" s="89"/>
    </row>
    <row r="733" spans="1:17">
      <c r="H733" s="175"/>
    </row>
    <row r="734" spans="1:17">
      <c r="H734" s="175"/>
    </row>
    <row r="735" spans="1:17">
      <c r="H735" s="175"/>
    </row>
    <row r="736" spans="1:17">
      <c r="B736" s="167"/>
      <c r="C736" s="173"/>
      <c r="H736" s="132"/>
    </row>
    <row r="737" spans="1:17">
      <c r="H737" s="175"/>
    </row>
    <row r="738" spans="1:17">
      <c r="H738" s="175"/>
    </row>
    <row r="739" spans="1:17">
      <c r="H739" s="175"/>
    </row>
    <row r="740" spans="1:17">
      <c r="B740" s="167"/>
      <c r="C740" s="173"/>
      <c r="H740" s="132"/>
    </row>
    <row r="741" spans="1:17">
      <c r="H741" s="175"/>
    </row>
    <row r="742" spans="1:17">
      <c r="A742" s="147"/>
      <c r="B742" s="9"/>
      <c r="C742" s="163"/>
      <c r="D742" s="163"/>
      <c r="E742" s="164"/>
      <c r="F742" s="163"/>
      <c r="G742" s="151"/>
      <c r="Q742" s="166"/>
    </row>
    <row r="743" spans="1:17">
      <c r="H743" s="175"/>
    </row>
    <row r="744" spans="1:17">
      <c r="H744" s="175"/>
    </row>
  </sheetData>
  <sheetProtection selectLockedCells="1"/>
  <mergeCells count="2">
    <mergeCell ref="D22:G22"/>
    <mergeCell ref="D23:G26"/>
  </mergeCells>
  <conditionalFormatting sqref="C40:G74 C78:G118 G162 G164">
    <cfRule type="cellIs" dxfId="2" priority="12" stopIfTrue="1" operator="greaterThan">
      <formula>0</formula>
    </cfRule>
  </conditionalFormatting>
  <conditionalFormatting sqref="C122:G158">
    <cfRule type="cellIs" dxfId="1" priority="1" stopIfTrue="1" operator="greaterThan">
      <formula>0</formula>
    </cfRule>
  </conditionalFormatting>
  <pageMargins left="1.1023622047244095" right="0.35433070866141736" top="0.59055118110236227" bottom="0.59055118110236227" header="0.39370078740157483" footer="0.39370078740157483"/>
  <pageSetup paperSize="9" orientation="portrait" useFirstPageNumber="1" r:id="rId1"/>
  <headerFooter alignWithMargins="0">
    <oddHeader>&amp;R&amp;"Arial,Navadno"&amp;9TLAČNI VOD TPV2</oddHeader>
    <oddFooter>&amp;C&amp;"Arial,Navadno"&amp;10&amp;P</oddFooter>
  </headerFooter>
  <rowBreaks count="5" manualBreakCount="5">
    <brk id="35" max="6" man="1"/>
    <brk id="66" max="6" man="1"/>
    <brk id="102" max="6" man="1"/>
    <brk id="126" max="6" man="1"/>
    <brk id="146"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10"/>
  <sheetViews>
    <sheetView view="pageBreakPreview" topLeftCell="A24" zoomScale="60" zoomScaleNormal="100" workbookViewId="0">
      <selection activeCell="I57" sqref="I57"/>
    </sheetView>
  </sheetViews>
  <sheetFormatPr defaultColWidth="8.6640625" defaultRowHeight="15.75"/>
  <cols>
    <col min="1" max="1" width="6.5546875" style="43" customWidth="1"/>
    <col min="2" max="2" width="27.44140625" style="53" customWidth="1"/>
    <col min="3" max="3" width="7.44140625" style="41" customWidth="1"/>
    <col min="4" max="4" width="1.109375" style="41" customWidth="1"/>
    <col min="5" max="5" width="11.109375" style="107" customWidth="1"/>
    <col min="6" max="6" width="3.44140625" style="41" customWidth="1"/>
    <col min="7" max="7" width="14" style="97" customWidth="1"/>
    <col min="8" max="8" width="3.6640625" style="38" customWidth="1"/>
    <col min="9" max="9" width="14.88671875" style="36" customWidth="1"/>
    <col min="10" max="10" width="8.6640625" style="37" customWidth="1"/>
    <col min="11" max="11" width="25.5546875" style="38" customWidth="1"/>
    <col min="12" max="12" width="15.5546875" style="38" customWidth="1"/>
    <col min="13" max="15" width="8.6640625" style="39" customWidth="1"/>
    <col min="16" max="16" width="8.6640625" style="38" customWidth="1"/>
    <col min="17" max="17" width="11.109375" style="82" customWidth="1"/>
    <col min="18" max="16384" width="8.6640625" style="38"/>
  </cols>
  <sheetData>
    <row r="1" spans="1:17" s="79" customFormat="1" ht="15.95" customHeight="1">
      <c r="A1" s="34"/>
      <c r="B1" s="35" t="s">
        <v>11</v>
      </c>
      <c r="C1" s="1" t="s">
        <v>123</v>
      </c>
      <c r="D1" s="33"/>
      <c r="E1" s="33"/>
      <c r="F1" s="2"/>
      <c r="G1" s="96"/>
      <c r="H1" s="78"/>
      <c r="Q1" s="90"/>
    </row>
    <row r="2" spans="1:17" s="79" customFormat="1" ht="15.95" customHeight="1">
      <c r="A2" s="34"/>
      <c r="B2" s="35"/>
      <c r="C2" s="1" t="s">
        <v>124</v>
      </c>
      <c r="D2" s="33"/>
      <c r="E2" s="33"/>
      <c r="F2" s="2"/>
      <c r="G2" s="96"/>
      <c r="H2" s="78"/>
      <c r="Q2" s="90"/>
    </row>
    <row r="3" spans="1:17" s="79" customFormat="1" ht="15.95" customHeight="1">
      <c r="A3" s="34"/>
      <c r="B3" s="35" t="s">
        <v>8</v>
      </c>
      <c r="C3" s="40" t="s">
        <v>179</v>
      </c>
      <c r="D3" s="33"/>
      <c r="E3" s="106"/>
      <c r="F3" s="2"/>
      <c r="G3" s="96"/>
      <c r="H3" s="78"/>
      <c r="Q3" s="90"/>
    </row>
    <row r="4" spans="1:17" s="79" customFormat="1">
      <c r="A4" s="34"/>
      <c r="B4" s="35" t="s">
        <v>12</v>
      </c>
      <c r="C4" s="40" t="s">
        <v>175</v>
      </c>
      <c r="D4" s="41"/>
      <c r="E4" s="107"/>
      <c r="F4" s="41"/>
      <c r="G4" s="97"/>
      <c r="Q4" s="82"/>
    </row>
    <row r="5" spans="1:17" s="79" customFormat="1">
      <c r="A5" s="34"/>
      <c r="B5" s="35" t="s">
        <v>13</v>
      </c>
      <c r="C5" s="1" t="s">
        <v>172</v>
      </c>
      <c r="D5" s="33"/>
      <c r="E5" s="106"/>
      <c r="F5" s="2"/>
      <c r="G5" s="97"/>
      <c r="Q5" s="90"/>
    </row>
    <row r="6" spans="1:17">
      <c r="A6" s="34"/>
      <c r="B6" s="35"/>
      <c r="C6" s="42" t="s">
        <v>173</v>
      </c>
    </row>
    <row r="7" spans="1:17">
      <c r="A7" s="34"/>
      <c r="B7" s="35"/>
      <c r="C7" s="42"/>
    </row>
    <row r="9" spans="1:17" ht="18">
      <c r="A9" s="43" t="s">
        <v>14</v>
      </c>
      <c r="B9" s="44" t="s">
        <v>52</v>
      </c>
      <c r="C9" s="45"/>
      <c r="D9" s="45"/>
      <c r="E9" s="108"/>
      <c r="F9" s="45"/>
      <c r="G9" s="98"/>
      <c r="Q9" s="83"/>
    </row>
    <row r="10" spans="1:17">
      <c r="B10" s="45"/>
      <c r="C10" s="45"/>
      <c r="D10" s="45"/>
      <c r="E10" s="108"/>
      <c r="F10" s="45"/>
      <c r="G10" s="98"/>
      <c r="Q10" s="83"/>
    </row>
    <row r="12" spans="1:17" s="7" customFormat="1">
      <c r="A12" s="8" t="s">
        <v>15</v>
      </c>
      <c r="B12" s="9" t="s">
        <v>16</v>
      </c>
      <c r="C12" s="46"/>
      <c r="E12" s="109"/>
      <c r="G12" s="99"/>
      <c r="I12" s="26"/>
      <c r="J12" s="22"/>
      <c r="M12" s="30"/>
      <c r="N12" s="30"/>
      <c r="O12" s="30"/>
      <c r="Q12" s="91"/>
    </row>
    <row r="13" spans="1:17" s="7" customFormat="1">
      <c r="A13" s="8"/>
      <c r="B13" s="9"/>
      <c r="C13" s="46"/>
      <c r="E13" s="109"/>
      <c r="G13" s="99"/>
      <c r="I13" s="26"/>
      <c r="J13" s="22"/>
      <c r="M13" s="30"/>
      <c r="N13" s="30"/>
      <c r="O13" s="30"/>
      <c r="Q13" s="91"/>
    </row>
    <row r="14" spans="1:17" s="7" customFormat="1">
      <c r="A14" s="47" t="s">
        <v>27</v>
      </c>
      <c r="B14" s="48" t="s">
        <v>26</v>
      </c>
      <c r="C14" s="49"/>
      <c r="D14" s="49"/>
      <c r="E14" s="110"/>
      <c r="F14" s="49"/>
      <c r="G14" s="209"/>
      <c r="H14" s="80"/>
      <c r="I14" s="26"/>
      <c r="J14" s="22"/>
      <c r="K14" s="119"/>
      <c r="M14" s="30"/>
      <c r="N14" s="30"/>
      <c r="O14" s="30"/>
      <c r="Q14" s="84"/>
    </row>
    <row r="15" spans="1:17">
      <c r="A15" s="47" t="s">
        <v>32</v>
      </c>
      <c r="B15" s="48" t="s">
        <v>17</v>
      </c>
      <c r="C15" s="49"/>
      <c r="D15" s="49"/>
      <c r="E15" s="110"/>
      <c r="F15" s="49"/>
      <c r="G15" s="209"/>
      <c r="H15" s="80"/>
      <c r="K15" s="116"/>
      <c r="Q15" s="84"/>
    </row>
    <row r="16" spans="1:17">
      <c r="A16" s="47" t="s">
        <v>42</v>
      </c>
      <c r="B16" s="48" t="s">
        <v>18</v>
      </c>
      <c r="C16" s="49"/>
      <c r="D16" s="49"/>
      <c r="E16" s="110"/>
      <c r="F16" s="49"/>
      <c r="G16" s="209"/>
      <c r="H16" s="80"/>
      <c r="K16" s="116"/>
      <c r="Q16" s="84"/>
    </row>
    <row r="17" spans="1:17">
      <c r="A17" s="47"/>
      <c r="B17" s="48"/>
      <c r="C17" s="49"/>
      <c r="D17" s="49"/>
      <c r="E17" s="110"/>
      <c r="F17" s="49"/>
      <c r="G17" s="100"/>
      <c r="K17" s="116"/>
      <c r="Q17" s="84"/>
    </row>
    <row r="18" spans="1:17" ht="16.5" thickBot="1">
      <c r="A18" s="47"/>
      <c r="B18" s="50" t="s">
        <v>53</v>
      </c>
      <c r="C18" s="51"/>
      <c r="D18" s="51"/>
      <c r="E18" s="111"/>
      <c r="F18" s="51"/>
      <c r="G18" s="210"/>
      <c r="H18" s="80"/>
      <c r="K18" s="117"/>
      <c r="Q18" s="85"/>
    </row>
    <row r="22" spans="1:17" ht="15.95" customHeight="1">
      <c r="B22" s="53" t="s">
        <v>81</v>
      </c>
      <c r="E22" s="458" t="s">
        <v>169</v>
      </c>
      <c r="F22" s="458"/>
      <c r="G22" s="458"/>
    </row>
    <row r="23" spans="1:17" ht="76.5" customHeight="1">
      <c r="B23" s="53" t="s">
        <v>84</v>
      </c>
      <c r="E23" s="458" t="s">
        <v>241</v>
      </c>
      <c r="F23" s="458"/>
      <c r="G23" s="458"/>
    </row>
    <row r="24" spans="1:17">
      <c r="E24" s="224"/>
      <c r="F24" s="224"/>
      <c r="G24" s="224"/>
    </row>
    <row r="25" spans="1:17">
      <c r="B25" s="53" t="s">
        <v>82</v>
      </c>
      <c r="E25" s="224"/>
      <c r="F25" s="224"/>
      <c r="G25" s="224"/>
    </row>
    <row r="26" spans="1:17" ht="63.75">
      <c r="B26" s="53" t="s">
        <v>83</v>
      </c>
    </row>
    <row r="28" spans="1:17">
      <c r="B28" s="53" t="s">
        <v>143</v>
      </c>
      <c r="K28" s="53"/>
    </row>
    <row r="29" spans="1:17" ht="114.75">
      <c r="B29" s="53" t="s">
        <v>193</v>
      </c>
      <c r="K29" s="53"/>
    </row>
    <row r="33" spans="1:17">
      <c r="B33" s="53" t="s">
        <v>166</v>
      </c>
    </row>
    <row r="34" spans="1:17" s="7" customFormat="1">
      <c r="A34" s="43"/>
      <c r="B34" s="53"/>
      <c r="C34" s="41"/>
      <c r="D34" s="41"/>
      <c r="E34" s="107"/>
      <c r="F34" s="41"/>
      <c r="G34" s="97"/>
      <c r="H34" s="38"/>
      <c r="I34" s="26"/>
      <c r="J34" s="22"/>
      <c r="M34" s="30"/>
      <c r="N34" s="30"/>
      <c r="O34" s="30"/>
      <c r="Q34" s="82"/>
    </row>
    <row r="35" spans="1:17">
      <c r="A35" s="11" t="s">
        <v>19</v>
      </c>
      <c r="B35" s="9" t="s">
        <v>16</v>
      </c>
      <c r="C35" s="46"/>
      <c r="D35" s="7"/>
      <c r="E35" s="109"/>
      <c r="F35" s="7"/>
      <c r="G35" s="99"/>
      <c r="H35" s="7"/>
      <c r="Q35" s="91"/>
    </row>
    <row r="36" spans="1:17" s="7" customFormat="1">
      <c r="A36" s="43"/>
      <c r="B36" s="55"/>
      <c r="C36" s="56"/>
      <c r="D36" s="56"/>
      <c r="E36" s="112"/>
      <c r="F36" s="56"/>
      <c r="G36" s="101"/>
      <c r="H36" s="38"/>
      <c r="I36" s="26"/>
      <c r="J36" s="22"/>
      <c r="M36" s="30"/>
      <c r="N36" s="30"/>
      <c r="O36" s="30"/>
      <c r="Q36" s="86"/>
    </row>
    <row r="37" spans="1:17" s="7" customFormat="1">
      <c r="A37" s="11" t="s">
        <v>27</v>
      </c>
      <c r="B37" s="9" t="s">
        <v>26</v>
      </c>
      <c r="C37" s="46"/>
      <c r="E37" s="109"/>
      <c r="G37" s="99"/>
      <c r="I37" s="26"/>
      <c r="J37" s="22"/>
      <c r="M37" s="30"/>
      <c r="N37" s="30"/>
      <c r="O37" s="30"/>
      <c r="Q37" s="91"/>
    </row>
    <row r="38" spans="1:17" s="7" customFormat="1">
      <c r="A38" s="8"/>
      <c r="B38" s="9"/>
      <c r="C38" s="207" t="s">
        <v>170</v>
      </c>
      <c r="D38" s="203"/>
      <c r="E38" s="208" t="s">
        <v>171</v>
      </c>
      <c r="F38" s="203"/>
      <c r="G38" s="208" t="s">
        <v>164</v>
      </c>
      <c r="I38" s="26"/>
      <c r="J38" s="22"/>
      <c r="M38" s="30"/>
      <c r="N38" s="30"/>
      <c r="O38" s="30"/>
      <c r="Q38" s="91"/>
    </row>
    <row r="39" spans="1:17" s="17" customFormat="1" ht="39">
      <c r="A39" s="12" t="s">
        <v>28</v>
      </c>
      <c r="B39" s="13" t="s">
        <v>139</v>
      </c>
      <c r="C39" s="46"/>
      <c r="D39" s="7"/>
      <c r="E39" s="109"/>
      <c r="F39" s="7"/>
      <c r="G39" s="99"/>
      <c r="H39" s="7"/>
      <c r="I39" s="27"/>
      <c r="J39" s="23"/>
      <c r="M39" s="31"/>
      <c r="N39" s="31"/>
      <c r="O39" s="31"/>
      <c r="Q39" s="91"/>
    </row>
    <row r="40" spans="1:17" s="7" customFormat="1">
      <c r="A40" s="18"/>
      <c r="B40" s="13"/>
      <c r="C40" s="57"/>
      <c r="D40" s="17"/>
      <c r="E40" s="113"/>
      <c r="F40" s="17"/>
      <c r="G40" s="102"/>
      <c r="H40" s="17"/>
      <c r="I40" s="26"/>
      <c r="J40" s="22"/>
      <c r="M40" s="30"/>
      <c r="N40" s="30"/>
      <c r="O40" s="30"/>
      <c r="Q40" s="92"/>
    </row>
    <row r="41" spans="1:17" s="7" customFormat="1">
      <c r="A41" s="8"/>
      <c r="B41" s="52" t="s">
        <v>22</v>
      </c>
      <c r="C41" s="214">
        <v>519</v>
      </c>
      <c r="D41" s="41"/>
      <c r="E41" s="230"/>
      <c r="F41" s="81"/>
      <c r="G41" s="213"/>
      <c r="H41" s="81"/>
      <c r="I41" s="26"/>
      <c r="J41" s="22"/>
      <c r="M41" s="30"/>
      <c r="N41" s="30"/>
      <c r="O41" s="30"/>
      <c r="Q41" s="82"/>
    </row>
    <row r="42" spans="1:17" s="7" customFormat="1">
      <c r="A42" s="8"/>
      <c r="B42" s="14"/>
      <c r="C42" s="46"/>
      <c r="E42" s="231"/>
      <c r="G42" s="99"/>
      <c r="I42" s="26"/>
      <c r="J42" s="22"/>
      <c r="M42" s="30"/>
      <c r="N42" s="30"/>
      <c r="O42" s="30"/>
      <c r="Q42" s="91"/>
    </row>
    <row r="43" spans="1:17" s="19" customFormat="1" ht="76.5">
      <c r="A43" s="12" t="s">
        <v>30</v>
      </c>
      <c r="B43" s="127" t="s">
        <v>140</v>
      </c>
      <c r="C43" s="46"/>
      <c r="D43" s="7"/>
      <c r="E43" s="231"/>
      <c r="F43" s="7"/>
      <c r="G43" s="99"/>
      <c r="H43" s="7"/>
      <c r="I43" s="28"/>
      <c r="J43" s="24"/>
      <c r="K43" s="52"/>
      <c r="M43" s="32"/>
      <c r="N43" s="32"/>
      <c r="O43" s="32"/>
      <c r="Q43" s="91"/>
    </row>
    <row r="44" spans="1:17" s="7" customFormat="1">
      <c r="A44" s="20"/>
      <c r="B44" s="52"/>
      <c r="C44" s="58"/>
      <c r="D44" s="19"/>
      <c r="E44" s="231"/>
      <c r="F44" s="19"/>
      <c r="G44" s="103"/>
      <c r="H44" s="19"/>
      <c r="I44" s="26"/>
      <c r="J44" s="22"/>
      <c r="M44" s="30"/>
      <c r="N44" s="30"/>
      <c r="O44" s="30"/>
      <c r="Q44" s="93"/>
    </row>
    <row r="45" spans="1:17" s="7" customFormat="1">
      <c r="A45" s="8"/>
      <c r="B45" s="52" t="s">
        <v>55</v>
      </c>
      <c r="C45" s="214">
        <v>1</v>
      </c>
      <c r="D45" s="41"/>
      <c r="E45" s="232"/>
      <c r="F45" s="81"/>
      <c r="G45" s="213"/>
      <c r="H45" s="81"/>
      <c r="I45" s="26"/>
      <c r="J45" s="22"/>
      <c r="M45" s="30"/>
      <c r="N45" s="30"/>
      <c r="O45" s="30"/>
      <c r="Q45" s="82"/>
    </row>
    <row r="46" spans="1:17" s="7" customFormat="1">
      <c r="A46" s="8"/>
      <c r="B46" s="52"/>
      <c r="C46" s="41"/>
      <c r="D46" s="41"/>
      <c r="E46" s="231"/>
      <c r="F46" s="41"/>
      <c r="G46" s="97"/>
      <c r="H46" s="41"/>
      <c r="I46" s="26"/>
      <c r="J46" s="22"/>
      <c r="M46" s="30"/>
      <c r="N46" s="30"/>
      <c r="O46" s="30"/>
      <c r="Q46" s="82"/>
    </row>
    <row r="47" spans="1:17" s="19" customFormat="1" ht="57.75" customHeight="1">
      <c r="A47" s="12" t="s">
        <v>56</v>
      </c>
      <c r="B47" s="52" t="s">
        <v>68</v>
      </c>
      <c r="C47" s="41"/>
      <c r="D47" s="41"/>
      <c r="E47" s="231"/>
      <c r="F47" s="41"/>
      <c r="G47" s="97"/>
      <c r="H47" s="7"/>
      <c r="I47" s="28"/>
      <c r="J47" s="24"/>
      <c r="M47" s="32"/>
      <c r="N47" s="32"/>
      <c r="O47" s="32"/>
      <c r="Q47" s="82"/>
    </row>
    <row r="48" spans="1:17" s="7" customFormat="1">
      <c r="A48" s="20"/>
      <c r="B48" s="52"/>
      <c r="C48" s="59"/>
      <c r="D48" s="59"/>
      <c r="E48" s="231"/>
      <c r="F48" s="59"/>
      <c r="G48" s="104"/>
      <c r="H48" s="19"/>
      <c r="I48" s="26"/>
      <c r="J48" s="22"/>
      <c r="M48" s="30"/>
      <c r="N48" s="30"/>
      <c r="O48" s="30"/>
      <c r="Q48" s="87"/>
    </row>
    <row r="49" spans="1:17" s="7" customFormat="1">
      <c r="A49" s="8"/>
      <c r="B49" s="52" t="s">
        <v>23</v>
      </c>
      <c r="C49" s="214">
        <f>INT(C41/20)+1</f>
        <v>26</v>
      </c>
      <c r="D49" s="41"/>
      <c r="E49" s="232"/>
      <c r="F49" s="81"/>
      <c r="G49" s="213"/>
      <c r="H49" s="81"/>
      <c r="I49" s="26"/>
      <c r="J49" s="22"/>
      <c r="M49" s="30"/>
      <c r="N49" s="30"/>
      <c r="O49" s="30"/>
      <c r="Q49" s="82"/>
    </row>
    <row r="50" spans="1:17" s="7" customFormat="1">
      <c r="A50" s="8"/>
      <c r="B50" s="52"/>
      <c r="C50" s="41"/>
      <c r="D50" s="41"/>
      <c r="E50" s="231"/>
      <c r="F50" s="41"/>
      <c r="G50" s="97"/>
      <c r="H50" s="41"/>
      <c r="I50" s="26"/>
      <c r="J50" s="22"/>
      <c r="M50" s="30"/>
      <c r="N50" s="30"/>
      <c r="O50" s="30"/>
      <c r="Q50" s="82"/>
    </row>
    <row r="51" spans="1:17" s="7" customFormat="1" ht="38.25">
      <c r="A51" s="12" t="s">
        <v>5</v>
      </c>
      <c r="B51" s="52" t="s">
        <v>6</v>
      </c>
      <c r="C51" s="41"/>
      <c r="D51" s="41"/>
      <c r="E51" s="231"/>
      <c r="F51" s="41"/>
      <c r="G51" s="97"/>
      <c r="I51" s="26"/>
      <c r="J51" s="22"/>
      <c r="M51" s="30"/>
      <c r="N51" s="30"/>
      <c r="O51" s="30"/>
      <c r="Q51" s="82"/>
    </row>
    <row r="52" spans="1:17" s="7" customFormat="1">
      <c r="A52" s="20"/>
      <c r="B52" s="52"/>
      <c r="C52" s="59"/>
      <c r="D52" s="59"/>
      <c r="E52" s="233"/>
      <c r="F52" s="59"/>
      <c r="G52" s="104"/>
      <c r="H52" s="19"/>
      <c r="I52" s="26"/>
      <c r="J52" s="22"/>
      <c r="M52" s="30"/>
      <c r="N52" s="30"/>
      <c r="O52" s="30"/>
      <c r="Q52" s="87"/>
    </row>
    <row r="53" spans="1:17" s="7" customFormat="1">
      <c r="A53" s="8"/>
      <c r="B53" s="52" t="s">
        <v>29</v>
      </c>
      <c r="C53" s="214">
        <v>1</v>
      </c>
      <c r="D53" s="41"/>
      <c r="E53" s="232"/>
      <c r="F53" s="81"/>
      <c r="G53" s="213"/>
      <c r="H53" s="81"/>
      <c r="I53" s="26"/>
      <c r="J53" s="22"/>
      <c r="M53" s="30"/>
      <c r="N53" s="30"/>
      <c r="O53" s="30"/>
      <c r="Q53" s="82"/>
    </row>
    <row r="54" spans="1:17" s="7" customFormat="1">
      <c r="A54" s="8"/>
      <c r="B54" s="52"/>
      <c r="C54" s="41"/>
      <c r="D54" s="41"/>
      <c r="E54" s="231"/>
      <c r="F54" s="41"/>
      <c r="G54" s="97"/>
      <c r="H54" s="41"/>
      <c r="I54" s="26"/>
      <c r="J54" s="22"/>
      <c r="M54" s="30"/>
      <c r="N54" s="30"/>
      <c r="O54" s="30"/>
      <c r="Q54" s="82"/>
    </row>
    <row r="55" spans="1:17" s="19" customFormat="1" ht="48" customHeight="1">
      <c r="A55" s="12" t="s">
        <v>75</v>
      </c>
      <c r="B55" s="52" t="s">
        <v>136</v>
      </c>
      <c r="C55" s="41"/>
      <c r="D55" s="41"/>
      <c r="E55" s="231"/>
      <c r="F55" s="41"/>
      <c r="G55" s="97"/>
      <c r="H55" s="7"/>
      <c r="I55" s="28"/>
      <c r="J55" s="24"/>
      <c r="M55" s="32"/>
      <c r="N55" s="32"/>
      <c r="O55" s="32"/>
      <c r="Q55" s="82"/>
    </row>
    <row r="56" spans="1:17" s="7" customFormat="1">
      <c r="A56" s="20"/>
      <c r="B56" s="52"/>
      <c r="C56" s="59"/>
      <c r="D56" s="59"/>
      <c r="E56" s="233"/>
      <c r="F56" s="59"/>
      <c r="G56" s="104"/>
      <c r="H56" s="19"/>
      <c r="I56" s="26"/>
      <c r="J56" s="22"/>
      <c r="M56" s="30"/>
      <c r="N56" s="30"/>
      <c r="O56" s="30"/>
      <c r="Q56" s="87"/>
    </row>
    <row r="57" spans="1:17" s="7" customFormat="1">
      <c r="A57" s="8"/>
      <c r="B57" s="52" t="s">
        <v>23</v>
      </c>
      <c r="C57" s="214">
        <v>1</v>
      </c>
      <c r="D57" s="41"/>
      <c r="E57" s="232"/>
      <c r="F57" s="81"/>
      <c r="G57" s="213"/>
      <c r="H57" s="81"/>
      <c r="I57" s="26"/>
      <c r="J57" s="22"/>
      <c r="M57" s="30"/>
      <c r="N57" s="30"/>
      <c r="O57" s="30"/>
      <c r="Q57" s="82"/>
    </row>
    <row r="58" spans="1:17" s="7" customFormat="1">
      <c r="A58" s="8"/>
      <c r="B58" s="52"/>
      <c r="C58" s="41"/>
      <c r="D58" s="41"/>
      <c r="E58" s="231"/>
      <c r="F58" s="81"/>
      <c r="G58" s="97"/>
      <c r="H58" s="81"/>
      <c r="I58" s="26"/>
      <c r="J58" s="22"/>
      <c r="M58" s="30"/>
      <c r="N58" s="30"/>
      <c r="O58" s="30"/>
      <c r="Q58" s="82"/>
    </row>
    <row r="59" spans="1:17" s="19" customFormat="1" ht="34.5" customHeight="1">
      <c r="A59" s="12" t="s">
        <v>137</v>
      </c>
      <c r="B59" s="52" t="s">
        <v>138</v>
      </c>
      <c r="C59" s="41"/>
      <c r="D59" s="41"/>
      <c r="E59" s="231"/>
      <c r="F59" s="41"/>
      <c r="G59" s="97"/>
      <c r="H59" s="7"/>
      <c r="I59" s="28"/>
      <c r="J59" s="24"/>
      <c r="M59" s="32"/>
      <c r="N59" s="32"/>
      <c r="O59" s="32"/>
      <c r="Q59" s="82"/>
    </row>
    <row r="60" spans="1:17" s="7" customFormat="1">
      <c r="A60" s="20"/>
      <c r="B60" s="52"/>
      <c r="C60" s="59"/>
      <c r="D60" s="59"/>
      <c r="E60" s="233"/>
      <c r="F60" s="59"/>
      <c r="G60" s="104"/>
      <c r="H60" s="19"/>
      <c r="I60" s="26"/>
      <c r="J60" s="22"/>
      <c r="M60" s="30"/>
      <c r="N60" s="30"/>
      <c r="O60" s="30"/>
      <c r="Q60" s="87"/>
    </row>
    <row r="61" spans="1:17" s="7" customFormat="1">
      <c r="A61" s="8"/>
      <c r="B61" s="52" t="s">
        <v>71</v>
      </c>
      <c r="C61" s="214">
        <v>519</v>
      </c>
      <c r="D61" s="41"/>
      <c r="E61" s="232"/>
      <c r="F61" s="81"/>
      <c r="G61" s="213"/>
      <c r="H61" s="81"/>
      <c r="I61" s="26"/>
      <c r="J61" s="22"/>
      <c r="M61" s="30"/>
      <c r="N61" s="30"/>
      <c r="O61" s="30"/>
      <c r="Q61" s="82"/>
    </row>
    <row r="62" spans="1:17" s="7" customFormat="1">
      <c r="A62" s="8"/>
      <c r="B62" s="52"/>
      <c r="E62" s="241"/>
      <c r="H62" s="41"/>
      <c r="I62" s="26"/>
      <c r="J62" s="22"/>
      <c r="M62" s="30"/>
      <c r="N62" s="30"/>
      <c r="O62" s="30"/>
      <c r="Q62" s="82"/>
    </row>
    <row r="63" spans="1:17" s="7" customFormat="1" ht="86.25" customHeight="1">
      <c r="A63" s="12" t="s">
        <v>54</v>
      </c>
      <c r="B63" s="52" t="s">
        <v>181</v>
      </c>
      <c r="C63" s="41"/>
      <c r="D63" s="41"/>
      <c r="E63" s="231"/>
      <c r="F63" s="41"/>
      <c r="G63" s="97"/>
      <c r="I63" s="26"/>
      <c r="J63" s="22"/>
      <c r="M63" s="30"/>
      <c r="N63" s="30"/>
      <c r="O63" s="30"/>
      <c r="Q63" s="82"/>
    </row>
    <row r="64" spans="1:17" s="7" customFormat="1" ht="44.25" customHeight="1">
      <c r="A64" s="8"/>
      <c r="B64" s="52" t="s">
        <v>116</v>
      </c>
      <c r="C64" s="214">
        <v>1</v>
      </c>
      <c r="D64" s="41"/>
      <c r="E64" s="232"/>
      <c r="F64" s="81"/>
      <c r="G64" s="213"/>
      <c r="H64" s="81"/>
      <c r="I64" s="26"/>
      <c r="J64" s="22"/>
      <c r="M64" s="30"/>
      <c r="N64" s="30"/>
      <c r="O64" s="30"/>
      <c r="Q64" s="82"/>
    </row>
    <row r="65" spans="1:17" s="7" customFormat="1" ht="15.95" customHeight="1">
      <c r="A65" s="8"/>
      <c r="B65" s="52"/>
      <c r="C65" s="207" t="s">
        <v>170</v>
      </c>
      <c r="D65" s="203"/>
      <c r="E65" s="235" t="s">
        <v>171</v>
      </c>
      <c r="F65" s="203"/>
      <c r="G65" s="208" t="s">
        <v>164</v>
      </c>
      <c r="I65" s="26"/>
      <c r="J65" s="22"/>
      <c r="M65" s="30"/>
      <c r="N65" s="30"/>
      <c r="O65" s="30"/>
      <c r="Q65" s="82"/>
    </row>
    <row r="66" spans="1:17" s="7" customFormat="1" ht="15.95" customHeight="1">
      <c r="A66" s="12" t="s">
        <v>61</v>
      </c>
      <c r="B66" s="52" t="s">
        <v>62</v>
      </c>
      <c r="C66" s="41"/>
      <c r="D66" s="41"/>
      <c r="E66" s="231"/>
      <c r="F66" s="41"/>
      <c r="G66" s="97"/>
      <c r="I66" s="26"/>
      <c r="J66" s="22"/>
      <c r="M66" s="30"/>
      <c r="N66" s="30"/>
      <c r="O66" s="30"/>
      <c r="Q66" s="82"/>
    </row>
    <row r="67" spans="1:17" s="7" customFormat="1" ht="15.95" customHeight="1">
      <c r="A67" s="20"/>
      <c r="B67" s="52"/>
      <c r="C67" s="59"/>
      <c r="D67" s="59"/>
      <c r="E67" s="233"/>
      <c r="F67" s="59"/>
      <c r="G67" s="104"/>
      <c r="H67" s="19"/>
      <c r="I67" s="26"/>
      <c r="J67" s="22"/>
      <c r="M67" s="30"/>
      <c r="N67" s="30"/>
      <c r="O67" s="30"/>
      <c r="Q67" s="87"/>
    </row>
    <row r="68" spans="1:17" s="7" customFormat="1" ht="15.95" customHeight="1">
      <c r="A68" s="8"/>
      <c r="B68" s="52" t="s">
        <v>41</v>
      </c>
      <c r="C68" s="214">
        <v>14</v>
      </c>
      <c r="D68" s="41"/>
      <c r="E68" s="232"/>
      <c r="F68" s="81"/>
      <c r="G68" s="213"/>
      <c r="H68" s="81"/>
      <c r="I68" s="26"/>
      <c r="J68" s="22"/>
      <c r="M68" s="30"/>
      <c r="N68" s="30"/>
      <c r="O68" s="30"/>
      <c r="Q68" s="82"/>
    </row>
    <row r="69" spans="1:17" s="7" customFormat="1" ht="15.95" customHeight="1">
      <c r="A69" s="8"/>
      <c r="B69" s="52"/>
      <c r="C69" s="41"/>
      <c r="D69" s="41"/>
      <c r="E69" s="231"/>
      <c r="F69" s="41"/>
      <c r="G69" s="97"/>
      <c r="H69" s="41"/>
      <c r="I69" s="26"/>
      <c r="J69" s="22"/>
      <c r="M69" s="30"/>
      <c r="N69" s="30"/>
      <c r="O69" s="30"/>
      <c r="Q69" s="82"/>
    </row>
    <row r="70" spans="1:17" s="7" customFormat="1" ht="89.25" customHeight="1">
      <c r="A70" s="12" t="s">
        <v>73</v>
      </c>
      <c r="B70" s="52" t="s">
        <v>135</v>
      </c>
      <c r="C70" s="41"/>
      <c r="D70" s="41"/>
      <c r="E70" s="231"/>
      <c r="F70" s="41"/>
      <c r="G70" s="97"/>
      <c r="I70" s="26"/>
      <c r="J70" s="22"/>
      <c r="M70" s="30"/>
      <c r="N70" s="30"/>
      <c r="O70" s="30"/>
      <c r="Q70" s="82"/>
    </row>
    <row r="71" spans="1:17" s="7" customFormat="1" ht="15.95" customHeight="1">
      <c r="A71" s="20"/>
      <c r="B71" s="52"/>
      <c r="C71" s="59"/>
      <c r="D71" s="59"/>
      <c r="E71" s="233"/>
      <c r="F71" s="59"/>
      <c r="G71" s="104"/>
      <c r="H71" s="19"/>
      <c r="I71" s="26"/>
      <c r="J71" s="22"/>
      <c r="M71" s="30"/>
      <c r="N71" s="30"/>
      <c r="O71" s="30"/>
      <c r="Q71" s="87"/>
    </row>
    <row r="72" spans="1:17" s="7" customFormat="1" ht="15.95" customHeight="1">
      <c r="A72" s="8"/>
      <c r="B72" s="52" t="s">
        <v>23</v>
      </c>
      <c r="C72" s="214">
        <v>1</v>
      </c>
      <c r="D72" s="41"/>
      <c r="E72" s="232"/>
      <c r="F72" s="81"/>
      <c r="G72" s="213"/>
      <c r="H72" s="81"/>
      <c r="I72" s="26"/>
      <c r="J72" s="22"/>
      <c r="M72" s="30"/>
      <c r="N72" s="30"/>
      <c r="O72" s="30"/>
      <c r="Q72" s="82"/>
    </row>
    <row r="73" spans="1:17" s="7" customFormat="1" ht="15.95" customHeight="1">
      <c r="A73" s="8"/>
      <c r="B73" s="52"/>
      <c r="C73" s="41"/>
      <c r="D73" s="41"/>
      <c r="E73" s="231"/>
      <c r="F73" s="41"/>
      <c r="G73" s="97"/>
      <c r="H73" s="41"/>
      <c r="I73" s="26"/>
      <c r="J73" s="22"/>
      <c r="M73" s="30"/>
      <c r="N73" s="30"/>
      <c r="O73" s="30"/>
      <c r="Q73" s="82"/>
    </row>
    <row r="74" spans="1:17" s="7" customFormat="1" ht="33.950000000000003" customHeight="1">
      <c r="A74" s="12" t="s">
        <v>74</v>
      </c>
      <c r="B74" s="52" t="s">
        <v>10</v>
      </c>
      <c r="C74" s="41"/>
      <c r="D74" s="41"/>
      <c r="E74" s="231"/>
      <c r="F74" s="41"/>
      <c r="G74" s="97"/>
      <c r="I74" s="26"/>
      <c r="J74" s="22"/>
      <c r="M74" s="30"/>
      <c r="N74" s="30"/>
      <c r="O74" s="30"/>
      <c r="Q74" s="82"/>
    </row>
    <row r="75" spans="1:17" s="7" customFormat="1" ht="15.95" customHeight="1">
      <c r="A75" s="20"/>
      <c r="B75" s="52"/>
      <c r="C75" s="59"/>
      <c r="D75" s="59"/>
      <c r="E75" s="233"/>
      <c r="F75" s="59"/>
      <c r="G75" s="104"/>
      <c r="H75" s="19"/>
      <c r="I75" s="26"/>
      <c r="J75" s="22"/>
      <c r="M75" s="30"/>
      <c r="N75" s="30"/>
      <c r="O75" s="30"/>
      <c r="Q75" s="87"/>
    </row>
    <row r="76" spans="1:17" s="7" customFormat="1" ht="15.95" customHeight="1">
      <c r="A76" s="8"/>
      <c r="B76" s="52" t="s">
        <v>23</v>
      </c>
      <c r="C76" s="214">
        <v>1</v>
      </c>
      <c r="D76" s="41"/>
      <c r="E76" s="232"/>
      <c r="F76" s="81"/>
      <c r="G76" s="213"/>
      <c r="H76" s="81"/>
      <c r="I76" s="26"/>
      <c r="J76" s="22"/>
      <c r="M76" s="30"/>
      <c r="N76" s="30"/>
      <c r="O76" s="30"/>
      <c r="Q76" s="82"/>
    </row>
    <row r="77" spans="1:17" s="7" customFormat="1" ht="15.95" customHeight="1">
      <c r="A77" s="8"/>
      <c r="B77" s="52"/>
      <c r="C77" s="41"/>
      <c r="D77" s="41"/>
      <c r="E77" s="231"/>
      <c r="F77" s="41"/>
      <c r="G77" s="97"/>
      <c r="I77" s="26"/>
      <c r="J77" s="22"/>
      <c r="M77" s="30"/>
      <c r="N77" s="30"/>
      <c r="O77" s="30"/>
      <c r="Q77" s="82"/>
    </row>
    <row r="78" spans="1:17" s="7" customFormat="1" ht="31.5">
      <c r="A78" s="11"/>
      <c r="B78" s="60" t="s">
        <v>43</v>
      </c>
      <c r="C78" s="49"/>
      <c r="D78" s="49"/>
      <c r="E78" s="236"/>
      <c r="F78" s="49"/>
      <c r="G78" s="209"/>
      <c r="H78" s="49"/>
      <c r="I78" s="118"/>
      <c r="J78" s="22"/>
      <c r="M78" s="30"/>
      <c r="N78" s="30"/>
      <c r="O78" s="30"/>
      <c r="Q78" s="84"/>
    </row>
    <row r="79" spans="1:17" s="7" customFormat="1">
      <c r="A79" s="11"/>
      <c r="B79" s="60"/>
      <c r="C79" s="49"/>
      <c r="D79" s="49"/>
      <c r="E79" s="236"/>
      <c r="F79" s="49"/>
      <c r="G79" s="100"/>
      <c r="H79" s="49"/>
      <c r="I79" s="26"/>
      <c r="J79" s="22"/>
      <c r="M79" s="30"/>
      <c r="N79" s="30"/>
      <c r="O79" s="30"/>
      <c r="Q79" s="84"/>
    </row>
    <row r="80" spans="1:17" s="7" customFormat="1">
      <c r="A80" s="11" t="s">
        <v>32</v>
      </c>
      <c r="B80" s="9" t="s">
        <v>17</v>
      </c>
      <c r="C80" s="46"/>
      <c r="E80" s="237"/>
      <c r="G80" s="99"/>
      <c r="I80" s="26"/>
      <c r="J80" s="22"/>
      <c r="M80" s="30"/>
      <c r="N80" s="30"/>
      <c r="O80" s="30"/>
      <c r="Q80" s="91"/>
    </row>
    <row r="81" spans="1:17" s="7" customFormat="1">
      <c r="A81" s="11"/>
      <c r="B81" s="9"/>
      <c r="C81" s="46"/>
      <c r="E81" s="237"/>
      <c r="G81" s="99"/>
      <c r="I81" s="26"/>
      <c r="J81" s="22"/>
      <c r="M81" s="30"/>
      <c r="N81" s="30"/>
      <c r="O81" s="30"/>
      <c r="Q81" s="91"/>
    </row>
    <row r="82" spans="1:17" s="64" customFormat="1" ht="64.5" customHeight="1">
      <c r="A82" s="12" t="s">
        <v>33</v>
      </c>
      <c r="B82" s="52" t="s">
        <v>134</v>
      </c>
      <c r="C82" s="41"/>
      <c r="D82" s="41"/>
      <c r="E82" s="231"/>
      <c r="F82" s="41"/>
      <c r="G82" s="97"/>
      <c r="H82" s="61"/>
      <c r="I82" s="62"/>
      <c r="J82" s="63"/>
      <c r="M82" s="65"/>
      <c r="N82" s="65"/>
      <c r="O82" s="65"/>
      <c r="Q82" s="82"/>
    </row>
    <row r="83" spans="1:17">
      <c r="A83" s="18"/>
      <c r="B83" s="52"/>
      <c r="C83" s="59"/>
      <c r="D83" s="59"/>
      <c r="E83" s="233"/>
      <c r="F83" s="59"/>
      <c r="G83" s="104"/>
      <c r="H83" s="64"/>
      <c r="Q83" s="87"/>
    </row>
    <row r="84" spans="1:17">
      <c r="B84" s="52" t="s">
        <v>20</v>
      </c>
      <c r="C84" s="214">
        <v>70.599999999999994</v>
      </c>
      <c r="E84" s="230"/>
      <c r="F84" s="81"/>
      <c r="G84" s="213"/>
      <c r="H84" s="81"/>
    </row>
    <row r="85" spans="1:17">
      <c r="B85" s="52"/>
      <c r="E85" s="231"/>
      <c r="H85" s="61"/>
    </row>
    <row r="86" spans="1:17" ht="69" customHeight="1">
      <c r="A86" s="43" t="s">
        <v>34</v>
      </c>
      <c r="B86" s="52" t="s">
        <v>133</v>
      </c>
      <c r="E86" s="231"/>
      <c r="H86" s="61"/>
      <c r="J86" s="52"/>
    </row>
    <row r="87" spans="1:17">
      <c r="B87" s="52"/>
      <c r="E87" s="231"/>
      <c r="H87" s="61"/>
    </row>
    <row r="88" spans="1:17">
      <c r="B88" s="52" t="s">
        <v>25</v>
      </c>
      <c r="C88" s="214">
        <f>51.48/0.09</f>
        <v>572</v>
      </c>
      <c r="E88" s="232"/>
      <c r="F88" s="81"/>
      <c r="G88" s="213"/>
      <c r="H88" s="81"/>
    </row>
    <row r="89" spans="1:17">
      <c r="B89" s="52"/>
      <c r="C89" s="54"/>
      <c r="E89" s="231"/>
      <c r="F89" s="81"/>
      <c r="H89" s="81"/>
    </row>
    <row r="90" spans="1:17">
      <c r="B90" s="52"/>
      <c r="C90" s="207" t="s">
        <v>170</v>
      </c>
      <c r="D90" s="203"/>
      <c r="E90" s="235" t="s">
        <v>171</v>
      </c>
      <c r="F90" s="203"/>
      <c r="G90" s="208" t="s">
        <v>164</v>
      </c>
      <c r="H90" s="61"/>
    </row>
    <row r="91" spans="1:17" ht="69" customHeight="1">
      <c r="A91" s="43" t="s">
        <v>36</v>
      </c>
      <c r="B91" s="52" t="s">
        <v>88</v>
      </c>
      <c r="E91" s="231"/>
      <c r="H91" s="61"/>
    </row>
    <row r="92" spans="1:17">
      <c r="B92" s="52"/>
      <c r="E92" s="231"/>
      <c r="H92" s="61"/>
    </row>
    <row r="93" spans="1:17" ht="25.5">
      <c r="B93" s="52" t="s">
        <v>141</v>
      </c>
      <c r="E93" s="231"/>
      <c r="H93" s="61"/>
    </row>
    <row r="94" spans="1:17">
      <c r="B94" s="52" t="s">
        <v>20</v>
      </c>
      <c r="C94" s="214">
        <f>1248.66*0.8</f>
        <v>998.92800000000011</v>
      </c>
      <c r="E94" s="230"/>
      <c r="F94" s="81"/>
      <c r="G94" s="213"/>
      <c r="H94" s="81"/>
    </row>
    <row r="95" spans="1:17">
      <c r="B95" s="52"/>
      <c r="E95" s="231"/>
      <c r="H95" s="41"/>
      <c r="J95" s="36"/>
    </row>
    <row r="96" spans="1:17">
      <c r="B96" s="52" t="s">
        <v>142</v>
      </c>
      <c r="E96" s="231"/>
      <c r="H96" s="61"/>
    </row>
    <row r="97" spans="1:17">
      <c r="B97" s="52" t="s">
        <v>20</v>
      </c>
      <c r="C97" s="214">
        <f>1248.66*0.2</f>
        <v>249.73200000000003</v>
      </c>
      <c r="E97" s="232"/>
      <c r="F97" s="81"/>
      <c r="G97" s="213"/>
      <c r="H97" s="81"/>
    </row>
    <row r="98" spans="1:17">
      <c r="B98" s="52"/>
      <c r="E98" s="231"/>
      <c r="H98" s="61"/>
    </row>
    <row r="99" spans="1:17" ht="67.5" customHeight="1">
      <c r="A99" s="43" t="s">
        <v>37</v>
      </c>
      <c r="B99" s="52" t="s">
        <v>89</v>
      </c>
      <c r="E99" s="231"/>
      <c r="H99" s="61"/>
    </row>
    <row r="100" spans="1:17">
      <c r="B100" s="52"/>
      <c r="E100" s="231"/>
      <c r="H100" s="61"/>
    </row>
    <row r="101" spans="1:17" ht="25.5">
      <c r="B101" s="52" t="s">
        <v>141</v>
      </c>
      <c r="E101" s="231"/>
      <c r="H101" s="61"/>
    </row>
    <row r="102" spans="1:17">
      <c r="B102" s="52" t="s">
        <v>20</v>
      </c>
      <c r="C102" s="214">
        <f>48.35*0.8</f>
        <v>38.680000000000007</v>
      </c>
      <c r="E102" s="238"/>
      <c r="F102" s="81"/>
      <c r="G102" s="213"/>
      <c r="H102" s="81"/>
    </row>
    <row r="103" spans="1:17">
      <c r="B103" s="52"/>
      <c r="E103" s="231"/>
      <c r="H103" s="41"/>
      <c r="J103" s="36"/>
    </row>
    <row r="104" spans="1:17">
      <c r="B104" s="52" t="s">
        <v>142</v>
      </c>
      <c r="E104" s="231"/>
      <c r="H104" s="61"/>
    </row>
    <row r="105" spans="1:17">
      <c r="B105" s="52" t="s">
        <v>20</v>
      </c>
      <c r="C105" s="214">
        <f>48.35*0.2</f>
        <v>9.6700000000000017</v>
      </c>
      <c r="E105" s="230"/>
      <c r="F105" s="81"/>
      <c r="G105" s="213"/>
      <c r="H105" s="81"/>
    </row>
    <row r="106" spans="1:17" s="68" customFormat="1">
      <c r="A106" s="69"/>
      <c r="B106" s="70"/>
      <c r="C106" s="66"/>
      <c r="D106" s="66"/>
      <c r="E106" s="231"/>
      <c r="F106" s="66"/>
      <c r="G106" s="97"/>
      <c r="H106" s="67"/>
      <c r="Q106" s="88"/>
    </row>
    <row r="107" spans="1:17" s="64" customFormat="1" ht="42" customHeight="1">
      <c r="A107" s="43" t="s">
        <v>45</v>
      </c>
      <c r="B107" s="52" t="s">
        <v>38</v>
      </c>
      <c r="C107" s="41"/>
      <c r="D107" s="41"/>
      <c r="E107" s="231"/>
      <c r="F107" s="41"/>
      <c r="G107" s="97"/>
      <c r="H107" s="61"/>
      <c r="I107" s="62"/>
      <c r="J107" s="63"/>
      <c r="M107" s="65"/>
      <c r="N107" s="65"/>
      <c r="O107" s="65"/>
      <c r="Q107" s="82"/>
    </row>
    <row r="108" spans="1:17">
      <c r="B108" s="52"/>
      <c r="C108" s="59"/>
      <c r="D108" s="59"/>
      <c r="E108" s="231"/>
      <c r="F108" s="59"/>
      <c r="G108" s="104"/>
      <c r="H108" s="64"/>
      <c r="Q108" s="87"/>
    </row>
    <row r="109" spans="1:17">
      <c r="B109" s="52" t="s">
        <v>25</v>
      </c>
      <c r="C109" s="214">
        <f>C41*0.75</f>
        <v>389.25</v>
      </c>
      <c r="E109" s="232"/>
      <c r="G109" s="213"/>
      <c r="H109" s="41"/>
    </row>
    <row r="110" spans="1:17">
      <c r="B110" s="52"/>
      <c r="E110" s="231"/>
      <c r="H110" s="61"/>
    </row>
    <row r="111" spans="1:17" s="64" customFormat="1" ht="147.75" customHeight="1">
      <c r="A111" s="43" t="s">
        <v>46</v>
      </c>
      <c r="B111" s="52" t="s">
        <v>90</v>
      </c>
      <c r="C111" s="41"/>
      <c r="D111" s="41"/>
      <c r="E111" s="231"/>
      <c r="F111" s="41"/>
      <c r="G111" s="97"/>
      <c r="H111" s="61"/>
      <c r="I111" s="62"/>
      <c r="J111" s="63"/>
      <c r="M111" s="65"/>
      <c r="N111" s="65"/>
      <c r="O111" s="65"/>
      <c r="Q111" s="82"/>
    </row>
    <row r="112" spans="1:17">
      <c r="A112" s="71"/>
      <c r="B112" s="52"/>
      <c r="C112" s="59"/>
      <c r="D112" s="59"/>
      <c r="E112" s="231"/>
      <c r="F112" s="59"/>
      <c r="G112" s="104"/>
      <c r="H112" s="64"/>
      <c r="Q112" s="87"/>
    </row>
    <row r="113" spans="1:17">
      <c r="B113" s="52" t="s">
        <v>20</v>
      </c>
      <c r="C113" s="214">
        <v>75.3</v>
      </c>
      <c r="E113" s="232"/>
      <c r="G113" s="213"/>
      <c r="H113" s="41"/>
    </row>
    <row r="114" spans="1:17">
      <c r="B114" s="52"/>
      <c r="C114" s="207" t="s">
        <v>170</v>
      </c>
      <c r="D114" s="203"/>
      <c r="E114" s="235" t="s">
        <v>171</v>
      </c>
      <c r="F114" s="203"/>
      <c r="G114" s="208" t="s">
        <v>164</v>
      </c>
      <c r="H114" s="61"/>
    </row>
    <row r="115" spans="1:17" s="64" customFormat="1" ht="120" customHeight="1">
      <c r="A115" s="43" t="s">
        <v>47</v>
      </c>
      <c r="B115" s="52" t="s">
        <v>132</v>
      </c>
      <c r="C115" s="41"/>
      <c r="D115" s="41"/>
      <c r="E115" s="231"/>
      <c r="F115" s="41"/>
      <c r="G115" s="97"/>
      <c r="H115" s="61"/>
      <c r="I115" s="62"/>
      <c r="J115" s="63"/>
      <c r="M115" s="65"/>
      <c r="N115" s="65"/>
      <c r="O115" s="65"/>
      <c r="Q115" s="82"/>
    </row>
    <row r="116" spans="1:17">
      <c r="A116" s="71"/>
      <c r="B116" s="52"/>
      <c r="C116" s="59"/>
      <c r="D116" s="59"/>
      <c r="E116" s="231"/>
      <c r="F116" s="59"/>
      <c r="G116" s="104"/>
      <c r="H116" s="64"/>
      <c r="Q116" s="87"/>
    </row>
    <row r="117" spans="1:17">
      <c r="B117" s="52" t="s">
        <v>20</v>
      </c>
      <c r="C117" s="214">
        <v>254.85</v>
      </c>
      <c r="E117" s="232"/>
      <c r="G117" s="213"/>
      <c r="H117" s="41"/>
    </row>
    <row r="118" spans="1:17">
      <c r="B118" s="52"/>
      <c r="E118" s="231"/>
      <c r="H118" s="61"/>
    </row>
    <row r="119" spans="1:17" ht="96" customHeight="1">
      <c r="A119" s="43" t="s">
        <v>48</v>
      </c>
      <c r="B119" s="52" t="s">
        <v>91</v>
      </c>
      <c r="E119" s="231"/>
      <c r="H119" s="61"/>
    </row>
    <row r="120" spans="1:17">
      <c r="A120" s="71"/>
      <c r="B120" s="52"/>
      <c r="E120" s="231"/>
      <c r="H120" s="61"/>
    </row>
    <row r="121" spans="1:17">
      <c r="B121" s="52" t="s">
        <v>20</v>
      </c>
      <c r="C121" s="214">
        <f>827.94*0.58</f>
        <v>480.20519999999999</v>
      </c>
      <c r="E121" s="232"/>
      <c r="G121" s="213"/>
      <c r="H121" s="41"/>
    </row>
    <row r="122" spans="1:17">
      <c r="B122" s="52"/>
      <c r="E122" s="231"/>
      <c r="H122" s="61"/>
    </row>
    <row r="123" spans="1:17" s="64" customFormat="1" ht="38.25">
      <c r="A123" s="43" t="s">
        <v>49</v>
      </c>
      <c r="B123" s="52" t="s">
        <v>92</v>
      </c>
      <c r="C123" s="41"/>
      <c r="D123" s="41"/>
      <c r="E123" s="231"/>
      <c r="F123" s="41"/>
      <c r="G123" s="97"/>
      <c r="H123" s="61"/>
      <c r="Q123" s="82"/>
    </row>
    <row r="124" spans="1:17">
      <c r="A124" s="71"/>
      <c r="B124" s="52"/>
      <c r="C124" s="59"/>
      <c r="D124" s="59"/>
      <c r="E124" s="231"/>
      <c r="F124" s="59"/>
      <c r="G124" s="104"/>
      <c r="H124" s="64"/>
      <c r="I124" s="38"/>
      <c r="J124" s="38"/>
      <c r="M124" s="38"/>
      <c r="N124" s="38"/>
      <c r="O124" s="38"/>
      <c r="Q124" s="87"/>
    </row>
    <row r="125" spans="1:17">
      <c r="B125" s="52" t="s">
        <v>20</v>
      </c>
      <c r="C125" s="214">
        <f>827.94*0.42</f>
        <v>347.73480000000001</v>
      </c>
      <c r="E125" s="232"/>
      <c r="G125" s="213"/>
      <c r="H125" s="41"/>
      <c r="I125" s="38"/>
      <c r="J125" s="38"/>
      <c r="M125" s="38"/>
      <c r="N125" s="38"/>
      <c r="O125" s="38"/>
    </row>
    <row r="126" spans="1:17">
      <c r="B126" s="52"/>
      <c r="E126" s="231"/>
      <c r="H126" s="61"/>
      <c r="I126" s="38"/>
      <c r="J126" s="38"/>
      <c r="M126" s="38"/>
      <c r="N126" s="38"/>
      <c r="O126" s="38"/>
    </row>
    <row r="127" spans="1:17" ht="114.75">
      <c r="A127" s="43" t="s">
        <v>50</v>
      </c>
      <c r="B127" s="52" t="s">
        <v>177</v>
      </c>
      <c r="E127" s="231"/>
      <c r="H127" s="61"/>
      <c r="K127" s="52"/>
    </row>
    <row r="128" spans="1:17">
      <c r="A128" s="71"/>
      <c r="B128" s="52"/>
      <c r="E128" s="231"/>
      <c r="H128" s="61"/>
    </row>
    <row r="129" spans="1:8">
      <c r="B129" s="52" t="s">
        <v>20</v>
      </c>
      <c r="C129" s="214">
        <v>110.7</v>
      </c>
      <c r="E129" s="232"/>
      <c r="G129" s="213"/>
      <c r="H129" s="41"/>
    </row>
    <row r="130" spans="1:8">
      <c r="B130" s="52"/>
      <c r="C130" s="207" t="s">
        <v>170</v>
      </c>
      <c r="D130" s="203"/>
      <c r="E130" s="235" t="s">
        <v>171</v>
      </c>
      <c r="F130" s="203"/>
      <c r="G130" s="208" t="s">
        <v>164</v>
      </c>
      <c r="H130" s="61"/>
    </row>
    <row r="131" spans="1:8" ht="326.25" customHeight="1">
      <c r="A131" s="43" t="s">
        <v>51</v>
      </c>
      <c r="B131" s="16" t="s">
        <v>168</v>
      </c>
      <c r="E131" s="231"/>
      <c r="H131" s="61"/>
    </row>
    <row r="132" spans="1:8">
      <c r="A132" s="71"/>
      <c r="B132" s="72"/>
      <c r="E132" s="231"/>
      <c r="H132" s="61"/>
    </row>
    <row r="133" spans="1:8">
      <c r="B133" s="52" t="s">
        <v>25</v>
      </c>
      <c r="C133" s="214">
        <f>C88</f>
        <v>572</v>
      </c>
      <c r="E133" s="230"/>
      <c r="G133" s="213"/>
      <c r="H133" s="41"/>
    </row>
    <row r="134" spans="1:8">
      <c r="B134" s="52"/>
      <c r="E134" s="231"/>
      <c r="H134" s="41"/>
    </row>
    <row r="135" spans="1:8" ht="55.7" customHeight="1">
      <c r="A135" s="43" t="s">
        <v>67</v>
      </c>
      <c r="B135" s="16" t="s">
        <v>249</v>
      </c>
      <c r="E135" s="231"/>
      <c r="H135" s="61"/>
    </row>
    <row r="136" spans="1:8">
      <c r="A136" s="71"/>
      <c r="B136" s="72"/>
      <c r="E136" s="231"/>
      <c r="H136" s="61"/>
    </row>
    <row r="137" spans="1:8">
      <c r="B137" s="52" t="s">
        <v>25</v>
      </c>
      <c r="C137" s="214">
        <v>577</v>
      </c>
      <c r="E137" s="232"/>
      <c r="G137" s="213"/>
      <c r="H137" s="41"/>
    </row>
    <row r="138" spans="1:8">
      <c r="B138" s="52"/>
      <c r="E138" s="231"/>
      <c r="H138" s="61"/>
    </row>
    <row r="139" spans="1:8" ht="116.25">
      <c r="A139" s="43" t="s">
        <v>57</v>
      </c>
      <c r="B139" s="52" t="s">
        <v>96</v>
      </c>
      <c r="E139" s="231"/>
      <c r="H139" s="61"/>
    </row>
    <row r="140" spans="1:8">
      <c r="B140" s="52"/>
      <c r="E140" s="231"/>
      <c r="H140" s="61"/>
    </row>
    <row r="141" spans="1:8">
      <c r="B141" s="52" t="s">
        <v>20</v>
      </c>
      <c r="C141" s="214">
        <f>(1297.01-C125)*1.3</f>
        <v>1234.0577600000001</v>
      </c>
      <c r="E141" s="232"/>
      <c r="G141" s="213"/>
      <c r="H141" s="41"/>
    </row>
    <row r="142" spans="1:8">
      <c r="B142" s="52"/>
      <c r="C142" s="207" t="s">
        <v>170</v>
      </c>
      <c r="D142" s="203"/>
      <c r="E142" s="235" t="s">
        <v>171</v>
      </c>
      <c r="F142" s="203"/>
      <c r="G142" s="208" t="s">
        <v>164</v>
      </c>
      <c r="H142" s="61"/>
    </row>
    <row r="143" spans="1:8" ht="127.5">
      <c r="A143" s="43" t="s">
        <v>58</v>
      </c>
      <c r="B143" s="52" t="s">
        <v>131</v>
      </c>
      <c r="E143" s="231"/>
      <c r="H143" s="61"/>
    </row>
    <row r="144" spans="1:8">
      <c r="B144" s="52"/>
      <c r="E144" s="231"/>
      <c r="H144" s="61"/>
    </row>
    <row r="145" spans="1:17">
      <c r="B145" s="52" t="s">
        <v>25</v>
      </c>
      <c r="C145" s="214">
        <f>C84/0.15</f>
        <v>470.66666666666663</v>
      </c>
      <c r="E145" s="232"/>
      <c r="G145" s="213"/>
      <c r="H145" s="41"/>
    </row>
    <row r="146" spans="1:17">
      <c r="B146" s="52"/>
      <c r="E146" s="231"/>
      <c r="H146" s="61"/>
    </row>
    <row r="147" spans="1:17" ht="55.7" customHeight="1">
      <c r="A147" s="43" t="s">
        <v>64</v>
      </c>
      <c r="B147" s="52" t="s">
        <v>97</v>
      </c>
      <c r="E147" s="231"/>
      <c r="H147" s="61"/>
    </row>
    <row r="148" spans="1:17">
      <c r="B148" s="52"/>
      <c r="E148" s="231"/>
      <c r="H148" s="61"/>
    </row>
    <row r="149" spans="1:17">
      <c r="B149" s="52" t="s">
        <v>41</v>
      </c>
      <c r="C149" s="214">
        <v>6</v>
      </c>
      <c r="E149" s="232"/>
      <c r="G149" s="213"/>
      <c r="H149" s="41"/>
    </row>
    <row r="150" spans="1:17">
      <c r="B150" s="52"/>
      <c r="E150" s="231"/>
      <c r="H150" s="61"/>
    </row>
    <row r="151" spans="1:17" s="64" customFormat="1" ht="63.75">
      <c r="A151" s="43" t="s">
        <v>65</v>
      </c>
      <c r="B151" s="52" t="s">
        <v>7</v>
      </c>
      <c r="C151" s="41"/>
      <c r="D151" s="41"/>
      <c r="E151" s="231"/>
      <c r="F151" s="41"/>
      <c r="G151" s="97"/>
      <c r="H151" s="61"/>
      <c r="I151" s="62"/>
      <c r="J151" s="63"/>
      <c r="M151" s="65"/>
      <c r="N151" s="65"/>
      <c r="O151" s="65"/>
      <c r="Q151" s="82"/>
    </row>
    <row r="152" spans="1:17">
      <c r="B152" s="52"/>
      <c r="C152" s="59"/>
      <c r="D152" s="59"/>
      <c r="E152" s="233"/>
      <c r="F152" s="59"/>
      <c r="G152" s="104"/>
      <c r="H152" s="64"/>
      <c r="Q152" s="87"/>
    </row>
    <row r="153" spans="1:17">
      <c r="B153" s="52" t="s">
        <v>39</v>
      </c>
      <c r="E153" s="231"/>
      <c r="G153" s="213"/>
      <c r="H153" s="41"/>
    </row>
    <row r="154" spans="1:17">
      <c r="B154" s="52"/>
      <c r="E154" s="231"/>
      <c r="H154" s="61"/>
    </row>
    <row r="155" spans="1:17" s="7" customFormat="1">
      <c r="A155" s="43"/>
      <c r="B155" s="60" t="s">
        <v>21</v>
      </c>
      <c r="C155" s="56"/>
      <c r="D155" s="56"/>
      <c r="E155" s="239"/>
      <c r="F155" s="56"/>
      <c r="G155" s="209"/>
      <c r="H155" s="49"/>
      <c r="I155" s="26"/>
      <c r="J155" s="22"/>
      <c r="M155" s="30"/>
      <c r="N155" s="30"/>
      <c r="O155" s="30"/>
      <c r="Q155" s="86"/>
    </row>
    <row r="156" spans="1:17" ht="15.95" customHeight="1">
      <c r="A156" s="47"/>
      <c r="B156" s="9"/>
      <c r="C156" s="56"/>
      <c r="D156" s="56"/>
      <c r="E156" s="239"/>
      <c r="F156" s="56"/>
      <c r="G156" s="100"/>
      <c r="Q156" s="86"/>
    </row>
    <row r="157" spans="1:17">
      <c r="A157" s="11" t="s">
        <v>42</v>
      </c>
      <c r="B157" s="9" t="s">
        <v>18</v>
      </c>
      <c r="C157" s="46"/>
      <c r="D157" s="7"/>
      <c r="E157" s="237"/>
      <c r="F157" s="7"/>
      <c r="G157" s="99"/>
      <c r="H157" s="7"/>
      <c r="Q157" s="91"/>
    </row>
    <row r="158" spans="1:17">
      <c r="A158" s="11"/>
      <c r="B158" s="9"/>
      <c r="C158" s="46"/>
      <c r="D158" s="7"/>
      <c r="E158" s="237"/>
      <c r="F158" s="7"/>
      <c r="G158" s="99"/>
      <c r="H158" s="7"/>
      <c r="Q158" s="91"/>
    </row>
    <row r="159" spans="1:17" ht="43.5" customHeight="1">
      <c r="A159" s="43" t="s">
        <v>112</v>
      </c>
      <c r="B159" s="73" t="s">
        <v>98</v>
      </c>
      <c r="E159" s="231"/>
      <c r="H159" s="61"/>
    </row>
    <row r="160" spans="1:17">
      <c r="B160" s="52"/>
      <c r="E160" s="231"/>
      <c r="H160" s="61"/>
    </row>
    <row r="161" spans="1:17">
      <c r="B161" s="52" t="s">
        <v>22</v>
      </c>
      <c r="C161" s="214">
        <v>519</v>
      </c>
      <c r="E161" s="232"/>
      <c r="G161" s="213"/>
      <c r="H161" s="41"/>
    </row>
    <row r="162" spans="1:17">
      <c r="B162" s="52"/>
      <c r="C162" s="120"/>
      <c r="E162" s="231"/>
      <c r="H162" s="41"/>
    </row>
    <row r="163" spans="1:17" ht="97.5" customHeight="1">
      <c r="A163" s="43" t="s">
        <v>78</v>
      </c>
      <c r="B163" s="73" t="s">
        <v>99</v>
      </c>
      <c r="E163" s="231"/>
      <c r="H163" s="61"/>
    </row>
    <row r="164" spans="1:17">
      <c r="B164" s="52"/>
      <c r="E164" s="231"/>
      <c r="H164" s="61"/>
    </row>
    <row r="165" spans="1:17">
      <c r="B165" s="52" t="s">
        <v>22</v>
      </c>
      <c r="C165" s="214">
        <v>519</v>
      </c>
      <c r="E165" s="230"/>
      <c r="G165" s="213"/>
      <c r="H165" s="41"/>
    </row>
    <row r="166" spans="1:17" s="79" customFormat="1">
      <c r="A166" s="43"/>
      <c r="B166" s="52"/>
      <c r="C166" s="207" t="s">
        <v>170</v>
      </c>
      <c r="D166" s="203"/>
      <c r="E166" s="235" t="s">
        <v>171</v>
      </c>
      <c r="F166" s="203"/>
      <c r="G166" s="208" t="s">
        <v>164</v>
      </c>
      <c r="H166" s="41"/>
      <c r="Q166" s="95"/>
    </row>
    <row r="167" spans="1:17" s="79" customFormat="1" ht="114" customHeight="1">
      <c r="A167" s="43" t="s">
        <v>101</v>
      </c>
      <c r="B167" s="10" t="s">
        <v>127</v>
      </c>
      <c r="C167" s="41"/>
      <c r="D167" s="41"/>
      <c r="E167" s="231"/>
      <c r="F167" s="41"/>
      <c r="G167" s="97"/>
      <c r="H167" s="125"/>
      <c r="K167" s="10"/>
      <c r="Q167" s="82"/>
    </row>
    <row r="168" spans="1:17" s="79" customFormat="1" ht="15.95" customHeight="1">
      <c r="A168" s="43"/>
      <c r="B168" s="52" t="s">
        <v>122</v>
      </c>
      <c r="C168" s="216">
        <v>1</v>
      </c>
      <c r="D168" s="41"/>
      <c r="E168" s="232"/>
      <c r="F168" s="41"/>
      <c r="G168" s="213"/>
      <c r="H168" s="41"/>
      <c r="Q168" s="95"/>
    </row>
    <row r="169" spans="1:17" s="79" customFormat="1">
      <c r="A169" s="43"/>
      <c r="B169" s="52" t="s">
        <v>117</v>
      </c>
      <c r="C169" s="216">
        <v>16</v>
      </c>
      <c r="D169" s="41"/>
      <c r="E169" s="232"/>
      <c r="F169" s="41"/>
      <c r="G169" s="213"/>
      <c r="H169" s="41"/>
      <c r="Q169" s="95"/>
    </row>
    <row r="170" spans="1:17" s="79" customFormat="1">
      <c r="A170" s="43"/>
      <c r="B170" s="52" t="s">
        <v>118</v>
      </c>
      <c r="C170" s="216">
        <v>1</v>
      </c>
      <c r="D170" s="41"/>
      <c r="E170" s="232"/>
      <c r="F170" s="41"/>
      <c r="G170" s="213"/>
      <c r="H170" s="41"/>
      <c r="Q170" s="95"/>
    </row>
    <row r="171" spans="1:17" s="79" customFormat="1">
      <c r="A171" s="43"/>
      <c r="B171" s="52" t="s">
        <v>119</v>
      </c>
      <c r="C171" s="216">
        <v>1</v>
      </c>
      <c r="D171" s="41"/>
      <c r="E171" s="232"/>
      <c r="F171" s="41"/>
      <c r="G171" s="213"/>
      <c r="H171" s="41"/>
      <c r="Q171" s="95"/>
    </row>
    <row r="172" spans="1:17" s="79" customFormat="1">
      <c r="A172" s="43"/>
      <c r="B172" s="52"/>
      <c r="C172" s="124"/>
      <c r="D172" s="41"/>
      <c r="E172" s="231"/>
      <c r="F172" s="41"/>
      <c r="G172" s="97"/>
      <c r="H172" s="41"/>
      <c r="Q172" s="95"/>
    </row>
    <row r="173" spans="1:17" s="79" customFormat="1">
      <c r="A173" s="43"/>
      <c r="B173" s="52"/>
      <c r="E173" s="242"/>
      <c r="H173" s="41"/>
      <c r="Q173" s="95"/>
    </row>
    <row r="174" spans="1:17" s="79" customFormat="1" ht="162" customHeight="1">
      <c r="A174" s="43" t="s">
        <v>79</v>
      </c>
      <c r="B174" s="10" t="s">
        <v>128</v>
      </c>
      <c r="C174" s="41"/>
      <c r="D174" s="41"/>
      <c r="E174" s="231"/>
      <c r="F174" s="41"/>
      <c r="G174" s="97"/>
      <c r="H174" s="125"/>
      <c r="K174" s="10"/>
      <c r="Q174" s="82"/>
    </row>
    <row r="175" spans="1:17" s="79" customFormat="1">
      <c r="A175" s="43"/>
      <c r="B175" s="52"/>
      <c r="C175" s="41"/>
      <c r="D175" s="41"/>
      <c r="E175" s="231"/>
      <c r="F175" s="41"/>
      <c r="G175" s="97"/>
      <c r="H175" s="125"/>
      <c r="Q175" s="82"/>
    </row>
    <row r="176" spans="1:17" s="79" customFormat="1">
      <c r="A176" s="43"/>
      <c r="B176" s="52" t="s">
        <v>121</v>
      </c>
      <c r="C176" s="216">
        <f>C168</f>
        <v>1</v>
      </c>
      <c r="D176" s="41"/>
      <c r="E176" s="232"/>
      <c r="F176" s="41"/>
      <c r="G176" s="213"/>
      <c r="H176" s="41"/>
      <c r="Q176" s="95"/>
    </row>
    <row r="177" spans="1:17" s="79" customFormat="1">
      <c r="A177" s="43"/>
      <c r="B177" s="52" t="s">
        <v>117</v>
      </c>
      <c r="C177" s="216">
        <f>C169</f>
        <v>16</v>
      </c>
      <c r="D177" s="41"/>
      <c r="E177" s="232"/>
      <c r="F177" s="41"/>
      <c r="G177" s="213"/>
      <c r="H177" s="41"/>
      <c r="Q177" s="95"/>
    </row>
    <row r="178" spans="1:17" s="79" customFormat="1">
      <c r="A178" s="43"/>
      <c r="B178" s="52" t="s">
        <v>118</v>
      </c>
      <c r="C178" s="124">
        <f>C170</f>
        <v>1</v>
      </c>
      <c r="D178" s="41"/>
      <c r="E178" s="232"/>
      <c r="F178" s="41"/>
      <c r="G178" s="213"/>
      <c r="H178" s="41"/>
      <c r="Q178" s="95"/>
    </row>
    <row r="179" spans="1:17" s="79" customFormat="1">
      <c r="A179" s="43"/>
      <c r="B179" s="52" t="s">
        <v>119</v>
      </c>
      <c r="C179" s="124">
        <f>C171</f>
        <v>1</v>
      </c>
      <c r="D179" s="41"/>
      <c r="E179" s="232"/>
      <c r="F179" s="41"/>
      <c r="G179" s="213"/>
      <c r="H179" s="41"/>
      <c r="Q179" s="95"/>
    </row>
    <row r="180" spans="1:17" s="5" customFormat="1">
      <c r="A180" s="6"/>
      <c r="B180" s="10"/>
      <c r="C180" s="4"/>
      <c r="D180" s="2"/>
      <c r="E180" s="231"/>
      <c r="F180" s="2"/>
      <c r="G180" s="105"/>
      <c r="H180" s="2"/>
      <c r="Q180" s="89"/>
    </row>
    <row r="181" spans="1:17" s="5" customFormat="1" ht="191.25">
      <c r="A181" s="6" t="s">
        <v>109</v>
      </c>
      <c r="B181" s="126" t="s">
        <v>167</v>
      </c>
      <c r="C181" s="2"/>
      <c r="D181" s="2"/>
      <c r="E181" s="231"/>
      <c r="F181" s="2"/>
      <c r="G181" s="105"/>
      <c r="H181" s="15"/>
      <c r="K181" s="10"/>
      <c r="Q181" s="89"/>
    </row>
    <row r="182" spans="1:17" s="5" customFormat="1">
      <c r="A182" s="6"/>
      <c r="B182" s="10"/>
      <c r="C182" s="2"/>
      <c r="D182" s="2"/>
      <c r="E182" s="231"/>
      <c r="F182" s="2"/>
      <c r="G182" s="105"/>
      <c r="H182" s="15"/>
      <c r="Q182" s="89"/>
    </row>
    <row r="183" spans="1:17" s="5" customFormat="1">
      <c r="A183" s="6"/>
      <c r="B183" s="10" t="s">
        <v>23</v>
      </c>
      <c r="C183" s="217">
        <v>12</v>
      </c>
      <c r="D183" s="2"/>
      <c r="E183" s="232"/>
      <c r="F183" s="2"/>
      <c r="G183" s="218"/>
      <c r="H183" s="2"/>
      <c r="J183" s="122"/>
      <c r="Q183" s="89"/>
    </row>
    <row r="184" spans="1:17" s="5" customFormat="1">
      <c r="A184" s="6"/>
      <c r="B184" s="10"/>
      <c r="C184" s="207" t="s">
        <v>170</v>
      </c>
      <c r="D184" s="203"/>
      <c r="E184" s="235" t="s">
        <v>171</v>
      </c>
      <c r="F184" s="203"/>
      <c r="G184" s="208" t="s">
        <v>164</v>
      </c>
      <c r="H184" s="2"/>
      <c r="J184" s="122"/>
      <c r="Q184" s="89"/>
    </row>
    <row r="185" spans="1:17" s="5" customFormat="1" ht="165.75">
      <c r="A185" s="6" t="s">
        <v>178</v>
      </c>
      <c r="B185" s="73" t="s">
        <v>182</v>
      </c>
      <c r="C185" s="2"/>
      <c r="D185" s="2"/>
      <c r="E185" s="231"/>
      <c r="F185" s="2"/>
      <c r="G185" s="105"/>
      <c r="H185" s="15"/>
      <c r="K185" s="73"/>
      <c r="Q185" s="89"/>
    </row>
    <row r="186" spans="1:17" s="5" customFormat="1">
      <c r="A186" s="6"/>
      <c r="B186" s="10"/>
      <c r="C186" s="2"/>
      <c r="D186" s="2"/>
      <c r="E186" s="231"/>
      <c r="F186" s="2"/>
      <c r="G186" s="105"/>
      <c r="H186" s="15"/>
      <c r="Q186" s="89"/>
    </row>
    <row r="187" spans="1:17" s="5" customFormat="1">
      <c r="A187" s="6"/>
      <c r="B187" s="10" t="s">
        <v>71</v>
      </c>
      <c r="C187" s="217">
        <v>38</v>
      </c>
      <c r="D187" s="2"/>
      <c r="E187" s="232"/>
      <c r="F187" s="2"/>
      <c r="G187" s="218"/>
      <c r="H187" s="2"/>
      <c r="J187" s="122"/>
      <c r="Q187" s="89"/>
    </row>
    <row r="188" spans="1:17">
      <c r="B188" s="52"/>
      <c r="E188" s="231"/>
      <c r="H188" s="61"/>
      <c r="I188" s="38"/>
      <c r="J188" s="38"/>
      <c r="M188" s="38"/>
      <c r="N188" s="38"/>
      <c r="O188" s="38"/>
    </row>
    <row r="189" spans="1:17" ht="40.5" customHeight="1">
      <c r="A189" s="43" t="s">
        <v>1</v>
      </c>
      <c r="B189" s="52" t="s">
        <v>104</v>
      </c>
      <c r="E189" s="231"/>
      <c r="H189" s="61"/>
    </row>
    <row r="190" spans="1:17">
      <c r="B190" s="52"/>
      <c r="E190" s="231"/>
      <c r="H190" s="61"/>
    </row>
    <row r="191" spans="1:17">
      <c r="B191" s="52" t="s">
        <v>23</v>
      </c>
      <c r="C191" s="214">
        <v>19</v>
      </c>
      <c r="E191" s="232"/>
      <c r="G191" s="213"/>
      <c r="H191" s="41"/>
      <c r="Q191" s="95"/>
    </row>
    <row r="192" spans="1:17">
      <c r="B192" s="52"/>
      <c r="E192" s="231"/>
      <c r="H192" s="41"/>
      <c r="Q192" s="95"/>
    </row>
    <row r="193" spans="1:17" ht="30.75" customHeight="1">
      <c r="A193" s="43" t="s">
        <v>105</v>
      </c>
      <c r="B193" s="52" t="s">
        <v>103</v>
      </c>
      <c r="E193" s="231"/>
      <c r="H193" s="61"/>
    </row>
    <row r="194" spans="1:17">
      <c r="B194" s="52"/>
      <c r="E194" s="231"/>
      <c r="H194" s="49"/>
    </row>
    <row r="195" spans="1:17">
      <c r="B195" s="52" t="s">
        <v>22</v>
      </c>
      <c r="C195" s="214">
        <v>519</v>
      </c>
      <c r="E195" s="230"/>
      <c r="G195" s="213"/>
      <c r="H195" s="41"/>
    </row>
    <row r="196" spans="1:17">
      <c r="B196" s="52"/>
      <c r="E196" s="231"/>
      <c r="H196" s="41"/>
      <c r="Q196" s="95"/>
    </row>
    <row r="197" spans="1:17" ht="42.75" customHeight="1">
      <c r="A197" s="43" t="s">
        <v>2</v>
      </c>
      <c r="B197" s="52" t="s">
        <v>102</v>
      </c>
      <c r="E197" s="231"/>
      <c r="H197" s="61"/>
    </row>
    <row r="198" spans="1:17">
      <c r="B198" s="52"/>
      <c r="E198" s="231"/>
      <c r="H198" s="49"/>
    </row>
    <row r="199" spans="1:17">
      <c r="B199" s="52" t="s">
        <v>22</v>
      </c>
      <c r="C199" s="214">
        <v>519</v>
      </c>
      <c r="E199" s="230"/>
      <c r="G199" s="213"/>
      <c r="H199" s="41"/>
    </row>
    <row r="200" spans="1:17">
      <c r="B200" s="52"/>
      <c r="E200" s="240"/>
      <c r="H200" s="41"/>
    </row>
    <row r="201" spans="1:17" ht="22.5" customHeight="1">
      <c r="A201" s="43" t="s">
        <v>110</v>
      </c>
      <c r="B201" s="52" t="s">
        <v>106</v>
      </c>
      <c r="E201" s="231"/>
      <c r="H201" s="61"/>
    </row>
    <row r="202" spans="1:17">
      <c r="B202" s="52"/>
      <c r="E202" s="231"/>
      <c r="H202" s="49"/>
    </row>
    <row r="203" spans="1:17">
      <c r="B203" s="52" t="s">
        <v>22</v>
      </c>
      <c r="C203" s="214">
        <v>519</v>
      </c>
      <c r="E203" s="230"/>
      <c r="G203" s="213"/>
      <c r="H203" s="41"/>
    </row>
    <row r="204" spans="1:17">
      <c r="B204" s="52"/>
      <c r="H204" s="61"/>
    </row>
    <row r="205" spans="1:17" s="5" customFormat="1">
      <c r="A205" s="6"/>
      <c r="B205" s="10"/>
      <c r="H205" s="15"/>
      <c r="Q205" s="89"/>
    </row>
    <row r="206" spans="1:17" s="64" customFormat="1" ht="63.75">
      <c r="A206" s="43" t="s">
        <v>111</v>
      </c>
      <c r="B206" s="52" t="s">
        <v>9</v>
      </c>
      <c r="C206" s="41"/>
      <c r="D206" s="41"/>
      <c r="E206" s="107"/>
      <c r="F206" s="41"/>
      <c r="G206" s="97"/>
      <c r="H206" s="61"/>
      <c r="I206" s="62"/>
      <c r="J206" s="63"/>
      <c r="M206" s="65"/>
      <c r="N206" s="65"/>
      <c r="O206" s="65"/>
      <c r="Q206" s="82"/>
    </row>
    <row r="207" spans="1:17">
      <c r="B207" s="52"/>
      <c r="C207" s="59"/>
      <c r="D207" s="59"/>
      <c r="E207" s="114"/>
      <c r="F207" s="59"/>
      <c r="G207" s="104"/>
      <c r="H207" s="64"/>
      <c r="Q207" s="87"/>
    </row>
    <row r="208" spans="1:17">
      <c r="B208" s="52" t="s">
        <v>39</v>
      </c>
      <c r="G208" s="213"/>
      <c r="H208" s="41"/>
      <c r="J208" s="97"/>
      <c r="K208" s="97"/>
    </row>
    <row r="209" spans="2:17">
      <c r="B209" s="52"/>
      <c r="H209" s="61"/>
    </row>
    <row r="210" spans="2:17">
      <c r="B210" s="48" t="s">
        <v>24</v>
      </c>
      <c r="C210" s="56"/>
      <c r="D210" s="56"/>
      <c r="E210" s="112"/>
      <c r="F210" s="56"/>
      <c r="G210" s="209"/>
      <c r="Q210" s="86"/>
    </row>
  </sheetData>
  <sheetProtection selectLockedCells="1"/>
  <mergeCells count="2">
    <mergeCell ref="E22:G22"/>
    <mergeCell ref="E23:G23"/>
  </mergeCells>
  <conditionalFormatting sqref="G14:G17 C41:G61 C64:G64 C66:G89 C94:G113 C117:G129 C131:G141 C143:G145 C149:G165 C167:G169 C177:G183 C185:G203 C208:G210">
    <cfRule type="cellIs" dxfId="24" priority="7" stopIfTrue="1" operator="greaterThan">
      <formula>0</formula>
    </cfRule>
  </conditionalFormatting>
  <pageMargins left="1.1811023622047245" right="0.15748031496062992" top="0.59055118110236227" bottom="0.59055118110236227" header="0.39370078740157483" footer="0.39370078740157483"/>
  <pageSetup paperSize="9" orientation="portrait" useFirstPageNumber="1" r:id="rId1"/>
  <headerFooter alignWithMargins="0">
    <oddHeader>&amp;R&amp;"Arial,Navadno"&amp;9KANAL VS2</oddHeader>
    <oddFooter>&amp;C&amp;"Arial,Navadno"&amp;10&amp;P</oddFooter>
  </headerFooter>
  <rowBreaks count="7" manualBreakCount="7">
    <brk id="33" max="6" man="1"/>
    <brk id="89" max="6" man="1"/>
    <brk id="113" max="6" man="1"/>
    <brk id="129" max="6" man="1"/>
    <brk id="141" max="6" man="1"/>
    <brk id="165" max="6" man="1"/>
    <brk id="183" max="6"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Q719"/>
  <sheetViews>
    <sheetView view="pageBreakPreview" topLeftCell="A26" zoomScale="60" zoomScaleNormal="100" workbookViewId="0">
      <selection activeCell="E56" sqref="E56"/>
    </sheetView>
  </sheetViews>
  <sheetFormatPr defaultColWidth="8.6640625" defaultRowHeight="15.75"/>
  <cols>
    <col min="1" max="1" width="6" style="141" customWidth="1"/>
    <col min="2" max="2" width="27.44140625" style="161" customWidth="1"/>
    <col min="3" max="3" width="7.44140625" style="132" customWidth="1"/>
    <col min="4" max="4" width="3.6640625" style="132" customWidth="1"/>
    <col min="5" max="5" width="7.5546875" style="133" bestFit="1" customWidth="1"/>
    <col min="6" max="6" width="3.6640625" style="132" customWidth="1"/>
    <col min="7" max="7" width="15.109375" style="134" customWidth="1"/>
    <col min="8" max="8" width="3.6640625" style="136" customWidth="1"/>
    <col min="9" max="9" width="3.6640625" style="137" customWidth="1"/>
    <col min="10" max="10" width="12.109375" style="138" customWidth="1"/>
    <col min="11" max="11" width="17.6640625" style="136" customWidth="1"/>
    <col min="12" max="12" width="15.5546875" style="136" customWidth="1"/>
    <col min="13" max="15" width="8.6640625" style="139" customWidth="1"/>
    <col min="16" max="16" width="8.6640625" style="136" customWidth="1"/>
    <col min="17" max="17" width="11.109375" style="135" customWidth="1"/>
    <col min="18" max="16384" width="8.6640625" style="136"/>
  </cols>
  <sheetData>
    <row r="1" spans="1:17" s="130" customFormat="1" ht="15.95" customHeight="1">
      <c r="A1" s="128"/>
      <c r="B1" s="129" t="s">
        <v>11</v>
      </c>
      <c r="C1" s="1" t="s">
        <v>123</v>
      </c>
      <c r="D1" s="33"/>
      <c r="E1" s="33"/>
      <c r="F1" s="2"/>
      <c r="G1" s="96"/>
      <c r="H1" s="78"/>
      <c r="Q1" s="90"/>
    </row>
    <row r="2" spans="1:17" s="130" customFormat="1" ht="15.95" customHeight="1">
      <c r="A2" s="128"/>
      <c r="B2" s="129"/>
      <c r="C2" s="1" t="s">
        <v>124</v>
      </c>
      <c r="D2" s="33"/>
      <c r="E2" s="33"/>
      <c r="F2" s="2"/>
      <c r="G2" s="96"/>
      <c r="H2" s="78"/>
      <c r="Q2" s="90"/>
    </row>
    <row r="3" spans="1:17" s="130" customFormat="1">
      <c r="A3" s="128"/>
      <c r="B3" s="129" t="s">
        <v>8</v>
      </c>
      <c r="C3" s="131" t="s">
        <v>235</v>
      </c>
      <c r="D3" s="132"/>
      <c r="E3" s="133"/>
      <c r="F3" s="132"/>
      <c r="G3" s="134"/>
      <c r="Q3" s="135"/>
    </row>
    <row r="4" spans="1:17" s="130" customFormat="1">
      <c r="A4" s="128"/>
      <c r="B4" s="129" t="s">
        <v>144</v>
      </c>
      <c r="C4" s="40" t="s">
        <v>207</v>
      </c>
      <c r="D4" s="33"/>
      <c r="E4" s="106"/>
      <c r="F4" s="2"/>
      <c r="G4" s="134"/>
      <c r="Q4" s="90"/>
    </row>
    <row r="5" spans="1:17" s="130" customFormat="1">
      <c r="A5" s="128"/>
      <c r="B5" s="129" t="s">
        <v>13</v>
      </c>
      <c r="C5" s="1" t="s">
        <v>172</v>
      </c>
      <c r="D5" s="33"/>
      <c r="E5" s="106"/>
      <c r="F5" s="2"/>
      <c r="G5" s="134"/>
      <c r="Q5" s="90"/>
    </row>
    <row r="6" spans="1:17">
      <c r="A6" s="128"/>
      <c r="B6" s="129"/>
      <c r="C6" s="42" t="s">
        <v>173</v>
      </c>
      <c r="D6" s="41"/>
      <c r="E6" s="107"/>
      <c r="F6" s="41"/>
    </row>
    <row r="7" spans="1:17">
      <c r="A7" s="128"/>
      <c r="B7" s="129"/>
      <c r="C7" s="140"/>
    </row>
    <row r="10" spans="1:17" ht="18">
      <c r="A10" s="141" t="s">
        <v>14</v>
      </c>
      <c r="B10" s="142" t="s">
        <v>52</v>
      </c>
      <c r="C10" s="143"/>
      <c r="D10" s="143"/>
      <c r="E10" s="144"/>
      <c r="F10" s="143"/>
      <c r="G10" s="145"/>
      <c r="Q10" s="146"/>
    </row>
    <row r="11" spans="1:17">
      <c r="B11" s="143"/>
      <c r="C11" s="143"/>
      <c r="D11" s="143"/>
      <c r="E11" s="144"/>
      <c r="F11" s="143"/>
      <c r="G11" s="145"/>
      <c r="Q11" s="146"/>
    </row>
    <row r="12" spans="1:17">
      <c r="B12" s="143"/>
      <c r="C12" s="143"/>
      <c r="D12" s="143"/>
      <c r="E12" s="144"/>
      <c r="F12" s="143"/>
      <c r="G12" s="145"/>
      <c r="Q12" s="146"/>
    </row>
    <row r="15" spans="1:17" s="7" customFormat="1">
      <c r="A15" s="8" t="s">
        <v>15</v>
      </c>
      <c r="B15" s="9" t="s">
        <v>16</v>
      </c>
      <c r="C15" s="46"/>
      <c r="E15" s="109"/>
      <c r="G15" s="99"/>
      <c r="I15" s="26"/>
      <c r="J15" s="22"/>
      <c r="M15" s="30"/>
      <c r="N15" s="30"/>
      <c r="O15" s="30"/>
      <c r="Q15" s="91"/>
    </row>
    <row r="16" spans="1:17" s="7" customFormat="1">
      <c r="A16" s="8"/>
      <c r="B16" s="9"/>
      <c r="C16" s="46"/>
      <c r="E16" s="109"/>
      <c r="G16" s="99"/>
      <c r="I16" s="26"/>
      <c r="J16" s="22"/>
      <c r="M16" s="30"/>
      <c r="N16" s="30"/>
      <c r="O16" s="30"/>
      <c r="Q16" s="91"/>
    </row>
    <row r="17" spans="1:17" s="7" customFormat="1">
      <c r="A17" s="147" t="s">
        <v>27</v>
      </c>
      <c r="B17" s="148" t="s">
        <v>26</v>
      </c>
      <c r="C17" s="149"/>
      <c r="D17" s="149"/>
      <c r="E17" s="150"/>
      <c r="F17" s="149"/>
      <c r="G17" s="211"/>
      <c r="H17" s="80"/>
      <c r="I17" s="26"/>
      <c r="J17" s="22"/>
      <c r="K17" s="119"/>
      <c r="M17" s="30"/>
      <c r="N17" s="30"/>
      <c r="O17" s="30"/>
      <c r="Q17" s="152"/>
    </row>
    <row r="18" spans="1:17">
      <c r="A18" s="147" t="s">
        <v>32</v>
      </c>
      <c r="B18" s="148" t="s">
        <v>17</v>
      </c>
      <c r="C18" s="149"/>
      <c r="D18" s="149"/>
      <c r="E18" s="150"/>
      <c r="F18" s="149"/>
      <c r="G18" s="211"/>
      <c r="H18" s="80"/>
      <c r="K18" s="153"/>
      <c r="Q18" s="152"/>
    </row>
    <row r="19" spans="1:17">
      <c r="A19" s="147"/>
      <c r="B19" s="148"/>
      <c r="C19" s="149"/>
      <c r="D19" s="149"/>
      <c r="E19" s="150"/>
      <c r="F19" s="149"/>
      <c r="G19" s="151"/>
      <c r="K19" s="154"/>
      <c r="Q19" s="152"/>
    </row>
    <row r="20" spans="1:17" ht="16.5" thickBot="1">
      <c r="A20" s="147"/>
      <c r="B20" s="155" t="s">
        <v>53</v>
      </c>
      <c r="C20" s="156"/>
      <c r="D20" s="156"/>
      <c r="E20" s="157"/>
      <c r="F20" s="156"/>
      <c r="G20" s="212"/>
      <c r="H20" s="80"/>
      <c r="K20" s="158"/>
      <c r="Q20" s="159"/>
    </row>
    <row r="24" spans="1:17">
      <c r="B24" s="53" t="s">
        <v>81</v>
      </c>
      <c r="D24" s="460" t="s">
        <v>169</v>
      </c>
      <c r="E24" s="460"/>
      <c r="F24" s="460"/>
      <c r="G24" s="460"/>
    </row>
    <row r="25" spans="1:17" ht="82.5" customHeight="1">
      <c r="B25" s="53" t="s">
        <v>84</v>
      </c>
      <c r="D25" s="459" t="s">
        <v>246</v>
      </c>
      <c r="E25" s="459"/>
      <c r="F25" s="459"/>
      <c r="G25" s="459"/>
    </row>
    <row r="26" spans="1:17">
      <c r="B26" s="53"/>
      <c r="D26" s="223"/>
      <c r="E26" s="223"/>
      <c r="F26" s="223"/>
      <c r="G26" s="223"/>
    </row>
    <row r="27" spans="1:17">
      <c r="B27" s="53" t="s">
        <v>82</v>
      </c>
      <c r="D27" s="223"/>
      <c r="E27" s="223"/>
      <c r="F27" s="223"/>
      <c r="G27" s="223"/>
    </row>
    <row r="28" spans="1:17" ht="63.75">
      <c r="B28" s="53" t="s">
        <v>83</v>
      </c>
      <c r="D28" s="223"/>
      <c r="E28" s="223"/>
      <c r="F28" s="223"/>
      <c r="G28" s="223"/>
    </row>
    <row r="29" spans="1:17">
      <c r="B29" s="53"/>
      <c r="D29" s="223"/>
      <c r="E29" s="223"/>
      <c r="F29" s="223"/>
      <c r="G29" s="223"/>
    </row>
    <row r="30" spans="1:17">
      <c r="B30" s="161" t="s">
        <v>143</v>
      </c>
      <c r="D30" s="460"/>
      <c r="E30" s="460"/>
      <c r="F30" s="460"/>
      <c r="G30" s="460"/>
    </row>
    <row r="31" spans="1:17" s="132" customFormat="1" ht="76.5" customHeight="1">
      <c r="A31" s="141"/>
      <c r="B31" s="160" t="s">
        <v>165</v>
      </c>
      <c r="D31" s="223"/>
      <c r="E31" s="223"/>
      <c r="F31" s="223"/>
      <c r="G31" s="223"/>
      <c r="H31" s="136"/>
      <c r="I31" s="137"/>
      <c r="J31" s="138"/>
      <c r="K31" s="136"/>
      <c r="L31" s="160"/>
      <c r="M31" s="139"/>
      <c r="N31" s="139"/>
      <c r="O31" s="139"/>
      <c r="P31" s="136"/>
      <c r="Q31" s="135"/>
    </row>
    <row r="32" spans="1:17">
      <c r="B32" s="53"/>
    </row>
    <row r="33" spans="1:17">
      <c r="B33" s="53"/>
    </row>
    <row r="35" spans="1:17" s="132" customFormat="1">
      <c r="A35" s="141"/>
      <c r="B35" s="160"/>
      <c r="E35" s="133"/>
      <c r="G35" s="134"/>
      <c r="H35" s="136"/>
      <c r="I35" s="137"/>
      <c r="J35" s="138"/>
      <c r="K35" s="136"/>
      <c r="L35" s="160"/>
      <c r="M35" s="139"/>
      <c r="N35" s="139"/>
      <c r="O35" s="139"/>
      <c r="P35" s="136"/>
      <c r="Q35" s="135"/>
    </row>
    <row r="38" spans="1:17" s="132" customFormat="1">
      <c r="A38" s="141"/>
      <c r="B38" s="3" t="s">
        <v>145</v>
      </c>
      <c r="E38" s="133"/>
      <c r="G38" s="134"/>
      <c r="H38" s="136"/>
      <c r="I38" s="137"/>
      <c r="J38" s="138"/>
      <c r="K38" s="136"/>
      <c r="L38" s="136"/>
      <c r="M38" s="139"/>
      <c r="N38" s="139"/>
      <c r="O38" s="139"/>
      <c r="P38" s="136"/>
      <c r="Q38" s="135"/>
    </row>
    <row r="39" spans="1:17" s="7" customFormat="1">
      <c r="A39" s="141"/>
      <c r="B39" s="161"/>
      <c r="C39" s="132"/>
      <c r="D39" s="132"/>
      <c r="E39" s="133"/>
      <c r="F39" s="132"/>
      <c r="G39" s="134"/>
      <c r="H39" s="136"/>
      <c r="I39" s="26"/>
      <c r="J39" s="22"/>
      <c r="M39" s="30"/>
      <c r="N39" s="30"/>
      <c r="O39" s="30"/>
      <c r="Q39" s="135"/>
    </row>
    <row r="40" spans="1:17">
      <c r="A40" s="11" t="s">
        <v>19</v>
      </c>
      <c r="B40" s="9" t="s">
        <v>16</v>
      </c>
      <c r="C40" s="46"/>
      <c r="D40" s="7"/>
      <c r="E40" s="109"/>
      <c r="F40" s="7"/>
      <c r="G40" s="99"/>
      <c r="H40" s="7"/>
      <c r="Q40" s="91"/>
    </row>
    <row r="41" spans="1:17" s="7" customFormat="1">
      <c r="A41" s="141"/>
      <c r="B41" s="162"/>
      <c r="C41" s="163"/>
      <c r="D41" s="163"/>
      <c r="E41" s="164"/>
      <c r="F41" s="163"/>
      <c r="G41" s="165"/>
      <c r="H41" s="136"/>
      <c r="I41" s="26"/>
      <c r="J41" s="22"/>
      <c r="M41" s="30"/>
      <c r="N41" s="30"/>
      <c r="O41" s="30"/>
      <c r="Q41" s="166"/>
    </row>
    <row r="42" spans="1:17" s="7" customFormat="1">
      <c r="A42" s="11" t="s">
        <v>27</v>
      </c>
      <c r="B42" s="9" t="s">
        <v>26</v>
      </c>
      <c r="C42" s="46"/>
      <c r="E42" s="109"/>
      <c r="G42" s="99"/>
      <c r="I42" s="26"/>
      <c r="J42" s="22"/>
      <c r="M42" s="30"/>
      <c r="N42" s="30"/>
      <c r="O42" s="30"/>
      <c r="Q42" s="91"/>
    </row>
    <row r="43" spans="1:17" s="7" customFormat="1">
      <c r="A43" s="8"/>
      <c r="B43" s="9"/>
      <c r="C43" s="202" t="s">
        <v>170</v>
      </c>
      <c r="D43" s="205"/>
      <c r="E43" s="206" t="s">
        <v>171</v>
      </c>
      <c r="F43" s="203"/>
      <c r="G43" s="204" t="s">
        <v>164</v>
      </c>
      <c r="I43" s="26"/>
      <c r="J43" s="22"/>
      <c r="M43" s="30"/>
      <c r="N43" s="30"/>
      <c r="O43" s="30"/>
      <c r="Q43" s="91"/>
    </row>
    <row r="44" spans="1:17" s="17" customFormat="1" ht="51.75">
      <c r="A44" s="12" t="s">
        <v>28</v>
      </c>
      <c r="B44" s="13" t="s">
        <v>146</v>
      </c>
      <c r="C44" s="46"/>
      <c r="D44" s="7"/>
      <c r="E44" s="109"/>
      <c r="F44" s="7"/>
      <c r="G44" s="99"/>
      <c r="H44" s="7"/>
      <c r="I44" s="27"/>
      <c r="J44" s="23"/>
      <c r="M44" s="31"/>
      <c r="N44" s="31"/>
      <c r="O44" s="31"/>
      <c r="Q44" s="91"/>
    </row>
    <row r="45" spans="1:17" s="7" customFormat="1">
      <c r="A45" s="18"/>
      <c r="B45" s="13"/>
      <c r="C45" s="57"/>
      <c r="D45" s="17"/>
      <c r="E45" s="113"/>
      <c r="F45" s="17"/>
      <c r="G45" s="102"/>
      <c r="H45" s="17"/>
      <c r="I45" s="26"/>
      <c r="J45" s="22"/>
      <c r="M45" s="30"/>
      <c r="N45" s="30"/>
      <c r="O45" s="30"/>
      <c r="Q45" s="92"/>
    </row>
    <row r="46" spans="1:17" s="7" customFormat="1">
      <c r="A46" s="8"/>
      <c r="B46" s="167" t="s">
        <v>22</v>
      </c>
      <c r="C46" s="219">
        <v>44</v>
      </c>
      <c r="D46" s="132"/>
      <c r="E46" s="244"/>
      <c r="F46" s="168"/>
      <c r="G46" s="220"/>
      <c r="H46" s="168"/>
      <c r="I46" s="26"/>
      <c r="J46" s="22"/>
      <c r="M46" s="30"/>
      <c r="N46" s="30"/>
      <c r="O46" s="30"/>
      <c r="Q46" s="135"/>
    </row>
    <row r="47" spans="1:17" s="7" customFormat="1">
      <c r="A47" s="8"/>
      <c r="B47" s="167"/>
      <c r="C47" s="132"/>
      <c r="D47" s="132"/>
      <c r="E47" s="245"/>
      <c r="F47" s="132"/>
      <c r="G47" s="134"/>
      <c r="H47" s="132"/>
      <c r="I47" s="26"/>
      <c r="J47" s="22"/>
      <c r="M47" s="30"/>
      <c r="N47" s="30"/>
      <c r="O47" s="30"/>
      <c r="Q47" s="135"/>
    </row>
    <row r="48" spans="1:17" s="19" customFormat="1" ht="51">
      <c r="A48" s="12" t="s">
        <v>56</v>
      </c>
      <c r="B48" s="167" t="s">
        <v>68</v>
      </c>
      <c r="C48" s="132"/>
      <c r="D48" s="132"/>
      <c r="E48" s="245"/>
      <c r="F48" s="132"/>
      <c r="G48" s="134"/>
      <c r="H48" s="7"/>
      <c r="I48" s="28"/>
      <c r="J48" s="24"/>
      <c r="M48" s="32"/>
      <c r="N48" s="32"/>
      <c r="O48" s="32"/>
      <c r="Q48" s="135"/>
    </row>
    <row r="49" spans="1:17" s="7" customFormat="1">
      <c r="A49" s="20"/>
      <c r="B49" s="167"/>
      <c r="C49" s="169"/>
      <c r="D49" s="169"/>
      <c r="E49" s="245"/>
      <c r="F49" s="169"/>
      <c r="G49" s="170"/>
      <c r="H49" s="19"/>
      <c r="I49" s="26"/>
      <c r="J49" s="22"/>
      <c r="M49" s="30"/>
      <c r="N49" s="30"/>
      <c r="O49" s="30"/>
      <c r="Q49" s="171"/>
    </row>
    <row r="50" spans="1:17" s="7" customFormat="1">
      <c r="A50" s="8"/>
      <c r="B50" s="167" t="s">
        <v>23</v>
      </c>
      <c r="C50" s="219">
        <f>INT(C46/20)+1</f>
        <v>3</v>
      </c>
      <c r="D50" s="132"/>
      <c r="E50" s="246"/>
      <c r="F50" s="168"/>
      <c r="G50" s="220"/>
      <c r="H50" s="168"/>
      <c r="I50" s="26"/>
      <c r="J50" s="22"/>
      <c r="M50" s="30"/>
      <c r="N50" s="30"/>
      <c r="O50" s="30"/>
      <c r="Q50" s="135"/>
    </row>
    <row r="51" spans="1:17" s="7" customFormat="1">
      <c r="A51" s="8"/>
      <c r="B51" s="167"/>
      <c r="C51" s="132"/>
      <c r="D51" s="132"/>
      <c r="E51" s="245"/>
      <c r="F51" s="132"/>
      <c r="G51" s="134"/>
      <c r="H51" s="132"/>
      <c r="I51" s="26"/>
      <c r="J51" s="22"/>
      <c r="M51" s="30"/>
      <c r="N51" s="30"/>
      <c r="O51" s="30"/>
      <c r="Q51" s="135"/>
    </row>
    <row r="52" spans="1:17" s="7" customFormat="1" ht="38.25">
      <c r="A52" s="12" t="s">
        <v>5</v>
      </c>
      <c r="B52" s="167" t="s">
        <v>6</v>
      </c>
      <c r="C52" s="132"/>
      <c r="D52" s="132"/>
      <c r="E52" s="245"/>
      <c r="F52" s="132"/>
      <c r="G52" s="134"/>
      <c r="I52" s="26"/>
      <c r="J52" s="22"/>
      <c r="M52" s="30"/>
      <c r="N52" s="30"/>
      <c r="O52" s="30"/>
      <c r="Q52" s="135"/>
    </row>
    <row r="53" spans="1:17" s="7" customFormat="1">
      <c r="A53" s="20"/>
      <c r="B53" s="167"/>
      <c r="C53" s="169"/>
      <c r="D53" s="169"/>
      <c r="E53" s="247"/>
      <c r="F53" s="169"/>
      <c r="G53" s="170"/>
      <c r="H53" s="19"/>
      <c r="I53" s="26"/>
      <c r="J53" s="22"/>
      <c r="M53" s="30"/>
      <c r="N53" s="30"/>
      <c r="O53" s="30"/>
      <c r="Q53" s="171"/>
    </row>
    <row r="54" spans="1:17" s="7" customFormat="1">
      <c r="A54" s="8"/>
      <c r="B54" s="167" t="s">
        <v>29</v>
      </c>
      <c r="C54" s="219">
        <v>1</v>
      </c>
      <c r="D54" s="132"/>
      <c r="E54" s="246"/>
      <c r="F54" s="168"/>
      <c r="G54" s="220"/>
      <c r="H54" s="168"/>
      <c r="I54" s="26"/>
      <c r="J54" s="22"/>
      <c r="M54" s="30"/>
      <c r="N54" s="30"/>
      <c r="O54" s="30"/>
      <c r="Q54" s="135"/>
    </row>
    <row r="55" spans="1:17" s="7" customFormat="1">
      <c r="A55" s="8"/>
      <c r="B55" s="167"/>
      <c r="C55" s="132"/>
      <c r="D55" s="132"/>
      <c r="E55" s="245"/>
      <c r="F55" s="132"/>
      <c r="G55" s="134"/>
      <c r="H55" s="132"/>
      <c r="I55" s="26"/>
      <c r="J55" s="22"/>
      <c r="M55" s="30"/>
      <c r="N55" s="30"/>
      <c r="O55" s="30"/>
      <c r="Q55" s="135"/>
    </row>
    <row r="56" spans="1:17" s="19" customFormat="1" ht="25.5">
      <c r="A56" s="12" t="s">
        <v>75</v>
      </c>
      <c r="B56" s="167" t="s">
        <v>148</v>
      </c>
      <c r="C56" s="132"/>
      <c r="D56" s="132"/>
      <c r="E56" s="245"/>
      <c r="F56" s="132"/>
      <c r="G56" s="134"/>
      <c r="H56" s="7"/>
      <c r="I56" s="28"/>
      <c r="J56" s="24"/>
      <c r="M56" s="32"/>
      <c r="N56" s="32"/>
      <c r="O56" s="32"/>
      <c r="Q56" s="135"/>
    </row>
    <row r="57" spans="1:17" s="7" customFormat="1">
      <c r="A57" s="20"/>
      <c r="B57" s="167"/>
      <c r="C57" s="169"/>
      <c r="D57" s="169"/>
      <c r="E57" s="247"/>
      <c r="F57" s="169"/>
      <c r="G57" s="170"/>
      <c r="H57" s="19"/>
      <c r="I57" s="26"/>
      <c r="J57" s="22"/>
      <c r="M57" s="30"/>
      <c r="N57" s="30"/>
      <c r="O57" s="30"/>
      <c r="Q57" s="171"/>
    </row>
    <row r="58" spans="1:17" s="7" customFormat="1">
      <c r="A58" s="8"/>
      <c r="B58" s="167" t="s">
        <v>23</v>
      </c>
      <c r="C58" s="219">
        <v>1</v>
      </c>
      <c r="D58" s="132"/>
      <c r="E58" s="246"/>
      <c r="F58" s="168"/>
      <c r="G58" s="220"/>
      <c r="H58" s="168"/>
      <c r="I58" s="26"/>
      <c r="J58" s="22"/>
      <c r="M58" s="30"/>
      <c r="N58" s="30"/>
      <c r="O58" s="30"/>
      <c r="Q58" s="135"/>
    </row>
    <row r="59" spans="1:17" s="7" customFormat="1">
      <c r="A59" s="8"/>
      <c r="B59" s="167"/>
      <c r="C59" s="132"/>
      <c r="D59" s="132"/>
      <c r="E59" s="245"/>
      <c r="F59" s="132"/>
      <c r="G59" s="134"/>
      <c r="H59" s="132"/>
      <c r="I59" s="26"/>
      <c r="J59" s="22"/>
      <c r="M59" s="30"/>
      <c r="N59" s="30"/>
      <c r="O59" s="30"/>
      <c r="Q59" s="135"/>
    </row>
    <row r="60" spans="1:17" s="7" customFormat="1" ht="56.25" customHeight="1">
      <c r="A60" s="12" t="s">
        <v>54</v>
      </c>
      <c r="B60" s="167" t="s">
        <v>236</v>
      </c>
      <c r="C60" s="132"/>
      <c r="D60" s="132"/>
      <c r="E60" s="245"/>
      <c r="F60" s="132"/>
      <c r="G60" s="134"/>
      <c r="I60" s="26"/>
      <c r="J60" s="22"/>
      <c r="M60" s="30"/>
      <c r="N60" s="30"/>
      <c r="O60" s="30"/>
      <c r="Q60" s="135"/>
    </row>
    <row r="61" spans="1:17" s="7" customFormat="1" ht="38.25">
      <c r="A61" s="8"/>
      <c r="B61" s="52" t="s">
        <v>116</v>
      </c>
      <c r="C61" s="214">
        <v>1</v>
      </c>
      <c r="D61" s="41"/>
      <c r="E61" s="232"/>
      <c r="F61" s="81"/>
      <c r="G61" s="213"/>
      <c r="H61" s="81"/>
      <c r="I61" s="26"/>
      <c r="J61" s="22"/>
      <c r="M61" s="30"/>
      <c r="N61" s="30"/>
      <c r="O61" s="30"/>
      <c r="Q61" s="82"/>
    </row>
    <row r="62" spans="1:17" s="7" customFormat="1" ht="15.95" customHeight="1">
      <c r="A62" s="8"/>
      <c r="B62" s="167"/>
      <c r="C62" s="132"/>
      <c r="D62" s="132"/>
      <c r="E62" s="245"/>
      <c r="F62" s="132"/>
      <c r="G62" s="134"/>
      <c r="I62" s="26"/>
      <c r="J62" s="22"/>
      <c r="M62" s="30"/>
      <c r="N62" s="30"/>
      <c r="O62" s="30"/>
      <c r="Q62" s="135"/>
    </row>
    <row r="63" spans="1:17" s="7" customFormat="1" ht="15.95" customHeight="1">
      <c r="A63" s="12" t="s">
        <v>61</v>
      </c>
      <c r="B63" s="167" t="s">
        <v>62</v>
      </c>
      <c r="C63" s="132"/>
      <c r="D63" s="132"/>
      <c r="E63" s="245"/>
      <c r="F63" s="132"/>
      <c r="G63" s="134"/>
      <c r="I63" s="26"/>
      <c r="J63" s="22"/>
      <c r="M63" s="30"/>
      <c r="N63" s="30"/>
      <c r="O63" s="30"/>
      <c r="Q63" s="135"/>
    </row>
    <row r="64" spans="1:17" s="7" customFormat="1" ht="15.95" customHeight="1">
      <c r="A64" s="20"/>
      <c r="B64" s="167"/>
      <c r="C64" s="169"/>
      <c r="D64" s="169"/>
      <c r="E64" s="247"/>
      <c r="F64" s="169"/>
      <c r="G64" s="170"/>
      <c r="H64" s="19"/>
      <c r="I64" s="26"/>
      <c r="J64" s="22"/>
      <c r="M64" s="30"/>
      <c r="N64" s="30"/>
      <c r="O64" s="30"/>
      <c r="Q64" s="171"/>
    </row>
    <row r="65" spans="1:17" s="7" customFormat="1" ht="15.95" customHeight="1">
      <c r="A65" s="8"/>
      <c r="B65" s="167" t="s">
        <v>41</v>
      </c>
      <c r="C65" s="219">
        <v>1</v>
      </c>
      <c r="D65" s="132"/>
      <c r="E65" s="246"/>
      <c r="F65" s="168"/>
      <c r="G65" s="220"/>
      <c r="H65" s="168"/>
      <c r="I65" s="26"/>
      <c r="J65" s="22"/>
      <c r="M65" s="30"/>
      <c r="N65" s="30"/>
      <c r="O65" s="30"/>
      <c r="Q65" s="135"/>
    </row>
    <row r="66" spans="1:17" s="7" customFormat="1" ht="15.95" customHeight="1">
      <c r="A66" s="8"/>
      <c r="B66" s="167"/>
      <c r="C66" s="132"/>
      <c r="D66" s="132"/>
      <c r="E66" s="245"/>
      <c r="F66" s="132"/>
      <c r="G66" s="134"/>
      <c r="H66" s="132"/>
      <c r="I66" s="26"/>
      <c r="J66" s="22"/>
      <c r="M66" s="30"/>
      <c r="N66" s="30"/>
      <c r="O66" s="30"/>
      <c r="Q66" s="135"/>
    </row>
    <row r="67" spans="1:17" s="7" customFormat="1" ht="27.75" customHeight="1">
      <c r="A67" s="12" t="s">
        <v>73</v>
      </c>
      <c r="B67" s="167" t="s">
        <v>149</v>
      </c>
      <c r="C67" s="132"/>
      <c r="D67" s="132"/>
      <c r="E67" s="245"/>
      <c r="F67" s="132"/>
      <c r="G67" s="134"/>
      <c r="I67" s="26"/>
      <c r="J67" s="22"/>
      <c r="M67" s="30"/>
      <c r="N67" s="30"/>
      <c r="O67" s="30"/>
      <c r="Q67" s="135"/>
    </row>
    <row r="68" spans="1:17" s="7" customFormat="1" ht="15.95" customHeight="1">
      <c r="A68" s="20"/>
      <c r="B68" s="167"/>
      <c r="C68" s="169"/>
      <c r="D68" s="169"/>
      <c r="E68" s="247"/>
      <c r="F68" s="169"/>
      <c r="G68" s="170"/>
      <c r="H68" s="19"/>
      <c r="I68" s="26"/>
      <c r="J68" s="22"/>
      <c r="M68" s="30"/>
      <c r="N68" s="30"/>
      <c r="O68" s="30"/>
      <c r="Q68" s="171"/>
    </row>
    <row r="69" spans="1:17" s="7" customFormat="1" ht="15.95" customHeight="1">
      <c r="A69" s="8"/>
      <c r="B69" s="167" t="s">
        <v>23</v>
      </c>
      <c r="C69" s="219">
        <v>1</v>
      </c>
      <c r="D69" s="132"/>
      <c r="E69" s="246"/>
      <c r="F69" s="168"/>
      <c r="G69" s="220"/>
      <c r="H69" s="168"/>
      <c r="I69" s="26"/>
      <c r="J69" s="22"/>
      <c r="M69" s="30"/>
      <c r="N69" s="30"/>
      <c r="O69" s="30"/>
      <c r="Q69" s="135"/>
    </row>
    <row r="70" spans="1:17" s="7" customFormat="1" ht="15.95" customHeight="1">
      <c r="A70" s="8"/>
      <c r="B70" s="167"/>
      <c r="E70" s="241"/>
      <c r="H70" s="132"/>
      <c r="I70" s="26"/>
      <c r="J70" s="22"/>
      <c r="M70" s="30"/>
      <c r="N70" s="30"/>
      <c r="O70" s="30"/>
      <c r="Q70" s="135"/>
    </row>
    <row r="71" spans="1:17" s="7" customFormat="1" ht="15.95" customHeight="1">
      <c r="A71" s="12" t="s">
        <v>74</v>
      </c>
      <c r="B71" s="167" t="s">
        <v>150</v>
      </c>
      <c r="C71" s="132"/>
      <c r="D71" s="132"/>
      <c r="E71" s="245"/>
      <c r="F71" s="132"/>
      <c r="G71" s="134"/>
      <c r="I71" s="26"/>
      <c r="J71" s="22"/>
      <c r="M71" s="30"/>
      <c r="N71" s="30"/>
      <c r="O71" s="30"/>
      <c r="Q71" s="135"/>
    </row>
    <row r="72" spans="1:17" s="7" customFormat="1" ht="15.95" customHeight="1">
      <c r="A72" s="20"/>
      <c r="B72" s="167"/>
      <c r="C72" s="169"/>
      <c r="D72" s="169"/>
      <c r="E72" s="247"/>
      <c r="F72" s="169"/>
      <c r="G72" s="170"/>
      <c r="H72" s="19"/>
      <c r="I72" s="26"/>
      <c r="J72" s="22"/>
      <c r="M72" s="30"/>
      <c r="N72" s="30"/>
      <c r="O72" s="30"/>
      <c r="Q72" s="171"/>
    </row>
    <row r="73" spans="1:17" s="7" customFormat="1" ht="15.95" customHeight="1">
      <c r="A73" s="8"/>
      <c r="B73" s="167" t="s">
        <v>23</v>
      </c>
      <c r="C73" s="219">
        <v>1</v>
      </c>
      <c r="D73" s="132"/>
      <c r="E73" s="246"/>
      <c r="F73" s="168"/>
      <c r="G73" s="220"/>
      <c r="H73" s="168"/>
      <c r="I73" s="26"/>
      <c r="J73" s="22"/>
      <c r="M73" s="30"/>
      <c r="N73" s="30"/>
      <c r="O73" s="30"/>
      <c r="Q73" s="135"/>
    </row>
    <row r="74" spans="1:17" s="7" customFormat="1" ht="15.95" customHeight="1">
      <c r="A74" s="8"/>
      <c r="B74" s="167"/>
      <c r="C74" s="132"/>
      <c r="D74" s="132"/>
      <c r="E74" s="245"/>
      <c r="F74" s="132"/>
      <c r="G74" s="134"/>
      <c r="I74" s="26"/>
      <c r="J74" s="22"/>
      <c r="M74" s="30"/>
      <c r="N74" s="30"/>
      <c r="O74" s="30"/>
      <c r="Q74" s="135"/>
    </row>
    <row r="75" spans="1:17" s="7" customFormat="1" ht="31.5">
      <c r="A75" s="11"/>
      <c r="B75" s="174" t="s">
        <v>43</v>
      </c>
      <c r="C75" s="149"/>
      <c r="D75" s="149"/>
      <c r="E75" s="248"/>
      <c r="F75" s="149"/>
      <c r="G75" s="211"/>
      <c r="H75" s="149"/>
      <c r="I75" s="118"/>
      <c r="J75" s="22"/>
      <c r="M75" s="30"/>
      <c r="N75" s="30"/>
      <c r="O75" s="30"/>
      <c r="Q75" s="152"/>
    </row>
    <row r="76" spans="1:17" s="7" customFormat="1">
      <c r="A76" s="11"/>
      <c r="B76" s="174"/>
      <c r="E76" s="241"/>
      <c r="H76" s="149"/>
      <c r="I76" s="26"/>
      <c r="J76" s="22"/>
      <c r="M76" s="30"/>
      <c r="N76" s="30"/>
      <c r="O76" s="30"/>
      <c r="Q76" s="152"/>
    </row>
    <row r="77" spans="1:17" s="7" customFormat="1">
      <c r="A77" s="11" t="s">
        <v>32</v>
      </c>
      <c r="B77" s="9" t="s">
        <v>17</v>
      </c>
      <c r="C77" s="46"/>
      <c r="E77" s="237"/>
      <c r="G77" s="99"/>
      <c r="I77" s="26"/>
      <c r="J77" s="22"/>
      <c r="M77" s="30"/>
      <c r="N77" s="30"/>
      <c r="O77" s="30"/>
      <c r="Q77" s="91"/>
    </row>
    <row r="78" spans="1:17" s="7" customFormat="1">
      <c r="A78" s="11"/>
      <c r="B78" s="9"/>
      <c r="C78" s="207" t="s">
        <v>170</v>
      </c>
      <c r="D78" s="205"/>
      <c r="E78" s="235" t="s">
        <v>171</v>
      </c>
      <c r="F78" s="203"/>
      <c r="G78" s="208" t="s">
        <v>164</v>
      </c>
      <c r="I78" s="26"/>
      <c r="J78" s="22"/>
      <c r="M78" s="30"/>
      <c r="N78" s="30"/>
      <c r="O78" s="30"/>
      <c r="Q78" s="91"/>
    </row>
    <row r="79" spans="1:17" s="178" customFormat="1" ht="25.5">
      <c r="A79" s="12" t="s">
        <v>33</v>
      </c>
      <c r="B79" s="167" t="s">
        <v>151</v>
      </c>
      <c r="C79" s="132"/>
      <c r="D79" s="132"/>
      <c r="E79" s="245"/>
      <c r="F79" s="132"/>
      <c r="G79" s="134"/>
      <c r="H79" s="175"/>
      <c r="I79" s="176"/>
      <c r="J79" s="177"/>
      <c r="M79" s="179"/>
      <c r="N79" s="179"/>
      <c r="O79" s="179"/>
      <c r="Q79" s="135"/>
    </row>
    <row r="80" spans="1:17">
      <c r="A80" s="18"/>
      <c r="B80" s="167"/>
      <c r="C80" s="169"/>
      <c r="D80" s="169"/>
      <c r="E80" s="247"/>
      <c r="F80" s="169"/>
      <c r="G80" s="170"/>
      <c r="H80" s="178"/>
      <c r="Q80" s="171"/>
    </row>
    <row r="81" spans="1:11">
      <c r="B81" s="167" t="s">
        <v>20</v>
      </c>
      <c r="C81" s="219">
        <v>9.6999999999999993</v>
      </c>
      <c r="E81" s="244"/>
      <c r="F81" s="168"/>
      <c r="G81" s="220"/>
      <c r="H81" s="168"/>
    </row>
    <row r="82" spans="1:11">
      <c r="B82" s="167"/>
      <c r="E82" s="245"/>
      <c r="H82" s="175"/>
    </row>
    <row r="83" spans="1:11" ht="51">
      <c r="A83" s="141" t="s">
        <v>34</v>
      </c>
      <c r="B83" s="167" t="s">
        <v>152</v>
      </c>
      <c r="E83" s="245"/>
      <c r="H83" s="175"/>
    </row>
    <row r="84" spans="1:11">
      <c r="B84" s="167"/>
      <c r="E84" s="245"/>
      <c r="H84" s="175"/>
    </row>
    <row r="85" spans="1:11">
      <c r="B85" s="167" t="s">
        <v>25</v>
      </c>
      <c r="C85" s="219">
        <f>0.36/0.09</f>
        <v>4</v>
      </c>
      <c r="E85" s="246"/>
      <c r="F85" s="168"/>
      <c r="G85" s="220"/>
      <c r="H85" s="168"/>
    </row>
    <row r="86" spans="1:11">
      <c r="B86" s="167"/>
      <c r="E86" s="245"/>
      <c r="H86" s="175"/>
    </row>
    <row r="87" spans="1:11" ht="25.5">
      <c r="A87" s="141" t="s">
        <v>36</v>
      </c>
      <c r="B87" s="167" t="s">
        <v>154</v>
      </c>
      <c r="E87" s="245"/>
      <c r="H87" s="175"/>
    </row>
    <row r="88" spans="1:11">
      <c r="B88" s="167"/>
      <c r="E88" s="245"/>
      <c r="H88" s="175"/>
    </row>
    <row r="89" spans="1:11" ht="25.5">
      <c r="B89" s="167" t="s">
        <v>141</v>
      </c>
      <c r="E89" s="245"/>
      <c r="H89" s="175"/>
    </row>
    <row r="90" spans="1:11">
      <c r="B90" s="167" t="s">
        <v>20</v>
      </c>
      <c r="C90" s="219">
        <f>57.32*0.8</f>
        <v>45.856000000000002</v>
      </c>
      <c r="E90" s="244"/>
      <c r="F90" s="168"/>
      <c r="G90" s="220"/>
      <c r="H90" s="168"/>
    </row>
    <row r="91" spans="1:11">
      <c r="B91" s="167"/>
      <c r="E91" s="245"/>
      <c r="H91" s="132"/>
      <c r="J91" s="137"/>
    </row>
    <row r="92" spans="1:11">
      <c r="B92" s="167" t="s">
        <v>142</v>
      </c>
      <c r="E92" s="245"/>
      <c r="H92" s="175"/>
    </row>
    <row r="93" spans="1:11">
      <c r="B93" s="167" t="s">
        <v>20</v>
      </c>
      <c r="C93" s="219">
        <f>57.32*0.2</f>
        <v>11.464</v>
      </c>
      <c r="E93" s="246"/>
      <c r="F93" s="168"/>
      <c r="G93" s="220"/>
      <c r="H93" s="168"/>
    </row>
    <row r="94" spans="1:11">
      <c r="B94" s="167"/>
      <c r="E94" s="245"/>
      <c r="H94" s="175"/>
    </row>
    <row r="95" spans="1:11" ht="38.25">
      <c r="A95" s="141" t="s">
        <v>37</v>
      </c>
      <c r="B95" s="167" t="s">
        <v>155</v>
      </c>
      <c r="E95" s="245"/>
      <c r="H95" s="175"/>
    </row>
    <row r="96" spans="1:11">
      <c r="B96" s="167"/>
      <c r="E96" s="245"/>
      <c r="H96" s="175"/>
      <c r="K96" s="153"/>
    </row>
    <row r="97" spans="1:17" ht="25.5">
      <c r="B97" s="167" t="s">
        <v>141</v>
      </c>
      <c r="E97" s="245"/>
      <c r="H97" s="175"/>
    </row>
    <row r="98" spans="1:17">
      <c r="B98" s="167" t="s">
        <v>20</v>
      </c>
      <c r="C98" s="219">
        <f>0.43*0.8</f>
        <v>0.34400000000000003</v>
      </c>
      <c r="E98" s="244"/>
      <c r="F98" s="168"/>
      <c r="G98" s="220"/>
      <c r="H98" s="168"/>
    </row>
    <row r="99" spans="1:17">
      <c r="B99" s="167"/>
      <c r="C99" s="173"/>
      <c r="E99" s="245"/>
      <c r="H99" s="132"/>
      <c r="J99" s="137"/>
    </row>
    <row r="100" spans="1:17">
      <c r="B100" s="167" t="s">
        <v>142</v>
      </c>
      <c r="E100" s="245"/>
      <c r="H100" s="175"/>
    </row>
    <row r="101" spans="1:17">
      <c r="B101" s="167" t="s">
        <v>20</v>
      </c>
      <c r="C101" s="219">
        <f>0.43*0.2</f>
        <v>8.6000000000000007E-2</v>
      </c>
      <c r="E101" s="244"/>
      <c r="F101" s="168"/>
      <c r="G101" s="220"/>
      <c r="H101" s="168"/>
    </row>
    <row r="102" spans="1:17" s="183" customFormat="1">
      <c r="A102" s="184"/>
      <c r="B102" s="185"/>
      <c r="C102" s="180"/>
      <c r="D102" s="180"/>
      <c r="E102" s="245"/>
      <c r="F102" s="180"/>
      <c r="G102" s="134"/>
      <c r="H102" s="181"/>
      <c r="Q102" s="182"/>
    </row>
    <row r="103" spans="1:17" s="178" customFormat="1" ht="38.25">
      <c r="A103" s="141" t="s">
        <v>45</v>
      </c>
      <c r="B103" s="167" t="s">
        <v>38</v>
      </c>
      <c r="C103" s="132"/>
      <c r="D103" s="132"/>
      <c r="E103" s="245"/>
      <c r="F103" s="132"/>
      <c r="G103" s="134"/>
      <c r="H103" s="175"/>
      <c r="I103" s="176"/>
      <c r="J103" s="177"/>
      <c r="M103" s="179"/>
      <c r="N103" s="179"/>
      <c r="O103" s="179"/>
      <c r="Q103" s="135"/>
    </row>
    <row r="104" spans="1:17">
      <c r="B104" s="167"/>
      <c r="C104" s="169"/>
      <c r="D104" s="169"/>
      <c r="E104" s="245"/>
      <c r="F104" s="169"/>
      <c r="G104" s="170"/>
      <c r="H104" s="178"/>
      <c r="Q104" s="171"/>
    </row>
    <row r="105" spans="1:17">
      <c r="B105" s="167" t="s">
        <v>25</v>
      </c>
      <c r="C105" s="219">
        <f>C46*0.6</f>
        <v>26.4</v>
      </c>
      <c r="E105" s="246"/>
      <c r="G105" s="220"/>
      <c r="H105" s="132"/>
    </row>
    <row r="106" spans="1:17">
      <c r="B106" s="167"/>
      <c r="E106" s="245"/>
      <c r="H106" s="175"/>
    </row>
    <row r="107" spans="1:17" s="178" customFormat="1" ht="119.25" customHeight="1">
      <c r="A107" s="141" t="s">
        <v>46</v>
      </c>
      <c r="B107" s="52" t="s">
        <v>156</v>
      </c>
      <c r="C107" s="132"/>
      <c r="D107" s="132"/>
      <c r="E107" s="245"/>
      <c r="F107" s="132"/>
      <c r="G107" s="134"/>
      <c r="H107" s="175"/>
      <c r="I107" s="176"/>
      <c r="J107" s="177"/>
      <c r="M107" s="179"/>
      <c r="N107" s="179"/>
      <c r="O107" s="179"/>
      <c r="Q107" s="135"/>
    </row>
    <row r="108" spans="1:17">
      <c r="A108" s="186"/>
      <c r="B108" s="167"/>
      <c r="C108" s="169"/>
      <c r="D108" s="169"/>
      <c r="E108" s="245"/>
      <c r="F108" s="169"/>
      <c r="G108" s="170"/>
      <c r="H108" s="178"/>
      <c r="Q108" s="171"/>
    </row>
    <row r="109" spans="1:17">
      <c r="B109" s="167" t="s">
        <v>20</v>
      </c>
      <c r="C109" s="219">
        <v>3.4</v>
      </c>
      <c r="E109" s="246"/>
      <c r="G109" s="220"/>
      <c r="H109" s="132"/>
    </row>
    <row r="110" spans="1:17">
      <c r="B110" s="167"/>
      <c r="C110" s="207" t="s">
        <v>170</v>
      </c>
      <c r="D110" s="205"/>
      <c r="E110" s="235" t="s">
        <v>171</v>
      </c>
      <c r="F110" s="203"/>
      <c r="G110" s="208" t="s">
        <v>164</v>
      </c>
      <c r="H110" s="175"/>
    </row>
    <row r="111" spans="1:17" s="178" customFormat="1" ht="117.2" customHeight="1">
      <c r="A111" s="141" t="s">
        <v>47</v>
      </c>
      <c r="B111" s="167" t="s">
        <v>157</v>
      </c>
      <c r="C111" s="132"/>
      <c r="D111" s="132"/>
      <c r="E111" s="245"/>
      <c r="F111" s="132"/>
      <c r="G111" s="134"/>
      <c r="H111" s="175"/>
      <c r="I111" s="176"/>
      <c r="J111" s="177"/>
      <c r="M111" s="179"/>
      <c r="N111" s="179"/>
      <c r="O111" s="179"/>
      <c r="Q111" s="135"/>
    </row>
    <row r="112" spans="1:17">
      <c r="A112" s="186"/>
      <c r="B112" s="167"/>
      <c r="C112" s="169"/>
      <c r="D112" s="169"/>
      <c r="E112" s="245"/>
      <c r="F112" s="169"/>
      <c r="G112" s="170"/>
      <c r="H112" s="178"/>
      <c r="Q112" s="171"/>
    </row>
    <row r="113" spans="1:15">
      <c r="B113" s="167" t="s">
        <v>20</v>
      </c>
      <c r="C113" s="219">
        <v>13</v>
      </c>
      <c r="E113" s="246"/>
      <c r="G113" s="220"/>
      <c r="H113" s="132"/>
    </row>
    <row r="114" spans="1:15">
      <c r="B114" s="167"/>
      <c r="E114" s="245"/>
      <c r="H114" s="175"/>
    </row>
    <row r="115" spans="1:15" ht="96" customHeight="1">
      <c r="A115" s="141" t="s">
        <v>48</v>
      </c>
      <c r="B115" s="167" t="s">
        <v>158</v>
      </c>
      <c r="E115" s="245"/>
      <c r="H115" s="175"/>
    </row>
    <row r="116" spans="1:15">
      <c r="A116" s="186"/>
      <c r="B116" s="167"/>
      <c r="E116" s="245"/>
      <c r="H116" s="175"/>
    </row>
    <row r="117" spans="1:15">
      <c r="B117" s="167" t="s">
        <v>20</v>
      </c>
      <c r="C117" s="219">
        <f>40.5*1</f>
        <v>40.5</v>
      </c>
      <c r="E117" s="246"/>
      <c r="G117" s="220"/>
      <c r="H117" s="132"/>
    </row>
    <row r="118" spans="1:15">
      <c r="B118" s="167"/>
      <c r="E118" s="245"/>
      <c r="H118" s="175"/>
      <c r="I118" s="136"/>
      <c r="J118" s="136"/>
      <c r="M118" s="136"/>
      <c r="N118" s="136"/>
      <c r="O118" s="136"/>
    </row>
    <row r="119" spans="1:15" ht="63.75">
      <c r="A119" s="141" t="s">
        <v>50</v>
      </c>
      <c r="B119" s="167" t="s">
        <v>160</v>
      </c>
      <c r="E119" s="245"/>
      <c r="H119" s="175"/>
    </row>
    <row r="120" spans="1:15">
      <c r="A120" s="186"/>
      <c r="B120" s="167"/>
      <c r="E120" s="245"/>
      <c r="H120" s="175"/>
    </row>
    <row r="121" spans="1:15">
      <c r="B121" s="167" t="s">
        <v>20</v>
      </c>
      <c r="C121" s="219">
        <v>34.299999999999997</v>
      </c>
      <c r="E121" s="246"/>
      <c r="G121" s="220"/>
      <c r="H121" s="132"/>
    </row>
    <row r="122" spans="1:15">
      <c r="B122" s="167"/>
      <c r="C122" s="207" t="s">
        <v>170</v>
      </c>
      <c r="D122" s="205"/>
      <c r="E122" s="235" t="s">
        <v>171</v>
      </c>
      <c r="F122" s="203"/>
      <c r="G122" s="208" t="s">
        <v>164</v>
      </c>
      <c r="H122" s="175"/>
    </row>
    <row r="123" spans="1:15" ht="331.5" customHeight="1">
      <c r="A123" s="141" t="s">
        <v>51</v>
      </c>
      <c r="B123" s="16" t="s">
        <v>93</v>
      </c>
      <c r="E123" s="245"/>
      <c r="H123" s="175"/>
    </row>
    <row r="124" spans="1:15">
      <c r="A124" s="186"/>
      <c r="B124" s="187"/>
      <c r="E124" s="245"/>
      <c r="H124" s="175"/>
    </row>
    <row r="125" spans="1:15">
      <c r="B125" s="167" t="s">
        <v>25</v>
      </c>
      <c r="C125" s="132">
        <f>C85</f>
        <v>4</v>
      </c>
      <c r="E125" s="244"/>
      <c r="G125" s="220"/>
      <c r="H125" s="132"/>
    </row>
    <row r="126" spans="1:15">
      <c r="B126" s="167"/>
      <c r="E126" s="245"/>
      <c r="H126" s="175"/>
    </row>
    <row r="127" spans="1:15" ht="54" customHeight="1">
      <c r="A127" s="141" t="s">
        <v>63</v>
      </c>
      <c r="B127" s="187" t="s">
        <v>247</v>
      </c>
      <c r="E127" s="245"/>
      <c r="H127" s="175"/>
    </row>
    <row r="128" spans="1:15">
      <c r="A128" s="186"/>
      <c r="B128" s="187"/>
      <c r="E128" s="245"/>
      <c r="H128" s="175"/>
    </row>
    <row r="129" spans="1:17">
      <c r="B129" s="167" t="s">
        <v>25</v>
      </c>
      <c r="C129" s="132">
        <v>168</v>
      </c>
      <c r="E129" s="246"/>
      <c r="G129" s="220"/>
      <c r="H129" s="132"/>
    </row>
    <row r="130" spans="1:17">
      <c r="B130" s="167"/>
      <c r="E130" s="245"/>
      <c r="H130" s="175"/>
    </row>
    <row r="131" spans="1:17" ht="51">
      <c r="A131" s="141" t="s">
        <v>57</v>
      </c>
      <c r="B131" s="167" t="s">
        <v>161</v>
      </c>
      <c r="E131" s="245"/>
      <c r="H131" s="175"/>
    </row>
    <row r="132" spans="1:17">
      <c r="B132" s="167"/>
      <c r="E132" s="245"/>
      <c r="H132" s="175"/>
    </row>
    <row r="133" spans="1:17">
      <c r="B133" s="167" t="s">
        <v>20</v>
      </c>
      <c r="C133" s="219">
        <f>(57.75)*1.3</f>
        <v>75.075000000000003</v>
      </c>
      <c r="E133" s="246"/>
      <c r="G133" s="220"/>
      <c r="H133" s="132"/>
    </row>
    <row r="134" spans="1:17">
      <c r="B134" s="167"/>
      <c r="E134" s="245"/>
      <c r="H134" s="175"/>
    </row>
    <row r="135" spans="1:17" ht="25.5">
      <c r="A135" s="141" t="s">
        <v>64</v>
      </c>
      <c r="B135" s="167" t="s">
        <v>163</v>
      </c>
      <c r="E135" s="245"/>
      <c r="H135" s="175"/>
    </row>
    <row r="136" spans="1:17">
      <c r="B136" s="167"/>
      <c r="E136" s="245"/>
      <c r="H136" s="175"/>
    </row>
    <row r="137" spans="1:17">
      <c r="B137" s="167" t="s">
        <v>41</v>
      </c>
      <c r="C137" s="219">
        <v>1</v>
      </c>
      <c r="E137" s="246"/>
      <c r="G137" s="220"/>
      <c r="H137" s="132"/>
    </row>
    <row r="138" spans="1:17">
      <c r="B138" s="167"/>
      <c r="C138" s="207" t="s">
        <v>170</v>
      </c>
      <c r="D138" s="205"/>
      <c r="E138" s="208" t="s">
        <v>171</v>
      </c>
      <c r="F138" s="203"/>
      <c r="G138" s="208" t="s">
        <v>164</v>
      </c>
      <c r="H138" s="175"/>
    </row>
    <row r="139" spans="1:17" s="178" customFormat="1" ht="63.75">
      <c r="A139" s="141" t="s">
        <v>65</v>
      </c>
      <c r="B139" s="167" t="s">
        <v>7</v>
      </c>
      <c r="C139" s="132"/>
      <c r="D139" s="132"/>
      <c r="E139" s="133"/>
      <c r="F139" s="132"/>
      <c r="G139" s="134"/>
      <c r="H139" s="175"/>
      <c r="I139" s="176"/>
      <c r="J139" s="177"/>
      <c r="M139" s="179"/>
      <c r="N139" s="179"/>
      <c r="O139" s="179"/>
      <c r="Q139" s="135"/>
    </row>
    <row r="140" spans="1:17">
      <c r="B140" s="167"/>
      <c r="C140" s="169"/>
      <c r="D140" s="169"/>
      <c r="E140" s="172"/>
      <c r="F140" s="169"/>
      <c r="G140" s="170"/>
      <c r="H140" s="178"/>
      <c r="Q140" s="171"/>
    </row>
    <row r="141" spans="1:17">
      <c r="B141" s="167" t="s">
        <v>39</v>
      </c>
      <c r="G141" s="220"/>
      <c r="H141" s="132"/>
    </row>
    <row r="142" spans="1:17">
      <c r="B142" s="167"/>
      <c r="H142" s="175"/>
    </row>
    <row r="143" spans="1:17" s="7" customFormat="1">
      <c r="A143" s="141"/>
      <c r="B143" s="174" t="s">
        <v>21</v>
      </c>
      <c r="C143" s="163"/>
      <c r="D143" s="163"/>
      <c r="E143" s="164"/>
      <c r="F143" s="163"/>
      <c r="G143" s="211"/>
      <c r="H143" s="149"/>
      <c r="I143" s="26"/>
      <c r="J143" s="22"/>
      <c r="M143" s="30"/>
      <c r="N143" s="30"/>
      <c r="O143" s="30"/>
      <c r="Q143" s="166"/>
    </row>
    <row r="144" spans="1:17">
      <c r="B144" s="167"/>
      <c r="C144" s="173"/>
      <c r="H144" s="132"/>
    </row>
    <row r="145" spans="2:13">
      <c r="B145" s="167"/>
      <c r="H145" s="132"/>
    </row>
    <row r="146" spans="2:13">
      <c r="B146" s="167"/>
      <c r="H146" s="132"/>
    </row>
    <row r="147" spans="2:13" ht="94.5" customHeight="1">
      <c r="B147" s="189"/>
      <c r="H147" s="175"/>
      <c r="K147" s="10"/>
      <c r="M147" s="189"/>
    </row>
    <row r="148" spans="2:13">
      <c r="B148" s="167"/>
      <c r="H148" s="175"/>
      <c r="K148" s="153"/>
      <c r="L148" s="153"/>
    </row>
    <row r="149" spans="2:13">
      <c r="B149" s="167"/>
      <c r="C149" s="173"/>
      <c r="H149" s="132"/>
    </row>
    <row r="150" spans="2:13">
      <c r="B150" s="167"/>
      <c r="C150" s="173"/>
      <c r="H150" s="132"/>
    </row>
    <row r="151" spans="2:13" ht="111" customHeight="1">
      <c r="B151" s="189"/>
      <c r="H151" s="175"/>
      <c r="K151" s="10"/>
      <c r="M151" s="189"/>
    </row>
    <row r="152" spans="2:13">
      <c r="B152" s="167"/>
      <c r="H152" s="175"/>
    </row>
    <row r="153" spans="2:13">
      <c r="B153" s="167"/>
      <c r="C153" s="173"/>
      <c r="E153" s="135"/>
      <c r="H153" s="132"/>
    </row>
    <row r="154" spans="2:13">
      <c r="B154" s="167"/>
      <c r="C154" s="173"/>
      <c r="H154" s="132"/>
    </row>
    <row r="155" spans="2:13">
      <c r="B155" s="189"/>
      <c r="H155" s="175"/>
      <c r="K155" s="10"/>
    </row>
    <row r="156" spans="2:13">
      <c r="B156" s="167"/>
      <c r="H156" s="175"/>
    </row>
    <row r="157" spans="2:13">
      <c r="B157" s="167"/>
      <c r="C157" s="173"/>
      <c r="E157" s="135"/>
      <c r="H157" s="132"/>
    </row>
    <row r="158" spans="2:13">
      <c r="B158" s="167"/>
      <c r="C158" s="173"/>
      <c r="H158" s="132"/>
    </row>
    <row r="159" spans="2:13">
      <c r="B159" s="189"/>
      <c r="H159" s="175"/>
      <c r="K159" s="10"/>
      <c r="M159" s="189"/>
    </row>
    <row r="160" spans="2:13">
      <c r="B160" s="167"/>
      <c r="H160" s="175"/>
    </row>
    <row r="161" spans="1:17">
      <c r="B161" s="167"/>
      <c r="C161" s="173"/>
      <c r="E161" s="135"/>
      <c r="H161" s="132"/>
    </row>
    <row r="162" spans="1:17">
      <c r="A162" s="11"/>
      <c r="B162" s="9"/>
      <c r="C162" s="46"/>
      <c r="D162" s="7"/>
      <c r="F162" s="7"/>
      <c r="G162" s="99"/>
      <c r="H162" s="7"/>
      <c r="Q162" s="91"/>
    </row>
    <row r="163" spans="1:17">
      <c r="B163" s="189"/>
      <c r="H163" s="175"/>
      <c r="K163" s="10"/>
    </row>
    <row r="164" spans="1:17">
      <c r="B164" s="167"/>
      <c r="H164" s="175"/>
    </row>
    <row r="165" spans="1:17">
      <c r="B165" s="167"/>
      <c r="C165" s="173"/>
      <c r="E165" s="135"/>
      <c r="H165" s="132"/>
    </row>
    <row r="166" spans="1:17">
      <c r="B166" s="167"/>
      <c r="C166" s="173"/>
      <c r="H166" s="132"/>
    </row>
    <row r="167" spans="1:17">
      <c r="B167" s="189"/>
      <c r="H167" s="175"/>
      <c r="K167" s="10"/>
    </row>
    <row r="168" spans="1:17">
      <c r="B168" s="167"/>
      <c r="H168" s="175"/>
    </row>
    <row r="169" spans="1:17">
      <c r="B169" s="167"/>
      <c r="C169" s="173"/>
      <c r="H169" s="132"/>
    </row>
    <row r="170" spans="1:17">
      <c r="B170" s="167"/>
      <c r="C170" s="173"/>
      <c r="H170" s="132"/>
      <c r="Q170" s="188"/>
    </row>
    <row r="171" spans="1:17">
      <c r="B171" s="189"/>
      <c r="H171" s="175"/>
    </row>
    <row r="172" spans="1:17">
      <c r="B172" s="167"/>
      <c r="H172" s="175"/>
    </row>
    <row r="173" spans="1:17">
      <c r="B173" s="167"/>
      <c r="C173" s="173"/>
      <c r="E173" s="135"/>
      <c r="H173" s="132"/>
    </row>
    <row r="174" spans="1:17">
      <c r="B174" s="167"/>
      <c r="C174" s="173"/>
      <c r="H174" s="132"/>
      <c r="Q174" s="188"/>
    </row>
    <row r="175" spans="1:17">
      <c r="B175" s="189"/>
      <c r="H175" s="175"/>
    </row>
    <row r="176" spans="1:17">
      <c r="B176" s="167"/>
      <c r="H176" s="175"/>
    </row>
    <row r="177" spans="1:17">
      <c r="B177" s="167"/>
      <c r="C177" s="173"/>
      <c r="H177" s="132"/>
    </row>
    <row r="178" spans="1:17">
      <c r="B178" s="167"/>
      <c r="C178" s="173"/>
      <c r="H178" s="132"/>
    </row>
    <row r="179" spans="1:17">
      <c r="B179" s="189"/>
      <c r="H179" s="175"/>
      <c r="K179" s="167"/>
    </row>
    <row r="180" spans="1:17">
      <c r="B180" s="167"/>
      <c r="H180" s="175"/>
    </row>
    <row r="181" spans="1:17">
      <c r="B181" s="167"/>
      <c r="C181" s="173"/>
      <c r="E181" s="135"/>
      <c r="H181" s="132"/>
    </row>
    <row r="182" spans="1:17">
      <c r="B182" s="167"/>
      <c r="C182" s="173"/>
      <c r="H182" s="132"/>
    </row>
    <row r="183" spans="1:17">
      <c r="B183" s="189"/>
      <c r="H183" s="175"/>
    </row>
    <row r="184" spans="1:17">
      <c r="B184" s="167"/>
      <c r="H184" s="175"/>
      <c r="K184" s="190"/>
    </row>
    <row r="185" spans="1:17" s="137" customFormat="1">
      <c r="A185" s="141"/>
      <c r="B185" s="167"/>
      <c r="C185" s="173"/>
      <c r="D185" s="132"/>
      <c r="E185" s="135"/>
      <c r="F185" s="132"/>
      <c r="G185" s="134"/>
      <c r="H185" s="132"/>
      <c r="J185" s="138"/>
      <c r="K185" s="136"/>
      <c r="L185" s="136"/>
      <c r="M185" s="139"/>
      <c r="N185" s="139"/>
      <c r="O185" s="139"/>
      <c r="P185" s="136"/>
      <c r="Q185" s="135"/>
    </row>
    <row r="186" spans="1:17" s="137" customFormat="1">
      <c r="A186" s="141"/>
      <c r="B186" s="167"/>
      <c r="C186" s="132"/>
      <c r="D186" s="132"/>
      <c r="E186" s="191"/>
      <c r="F186" s="132"/>
      <c r="G186" s="134"/>
      <c r="H186" s="132"/>
      <c r="J186" s="138"/>
      <c r="K186" s="136"/>
      <c r="L186" s="136"/>
      <c r="M186" s="139"/>
      <c r="N186" s="139"/>
      <c r="O186" s="139"/>
      <c r="P186" s="136"/>
      <c r="Q186" s="135"/>
    </row>
    <row r="187" spans="1:17" s="137" customFormat="1" ht="80.25" customHeight="1">
      <c r="A187" s="141"/>
      <c r="B187" s="189"/>
      <c r="C187" s="132"/>
      <c r="D187" s="132"/>
      <c r="E187" s="191"/>
      <c r="F187" s="132"/>
      <c r="G187" s="134"/>
      <c r="H187" s="175"/>
      <c r="J187" s="138"/>
      <c r="K187" s="136"/>
      <c r="L187" s="136"/>
      <c r="M187" s="139"/>
      <c r="N187" s="139"/>
      <c r="O187" s="139"/>
      <c r="P187" s="136"/>
      <c r="Q187" s="135"/>
    </row>
    <row r="188" spans="1:17" s="137" customFormat="1">
      <c r="A188" s="141"/>
      <c r="B188" s="167"/>
      <c r="C188" s="132"/>
      <c r="D188" s="132"/>
      <c r="E188" s="191"/>
      <c r="F188" s="132"/>
      <c r="G188" s="134"/>
      <c r="H188" s="175"/>
      <c r="J188" s="138"/>
      <c r="K188" s="136"/>
      <c r="L188" s="136"/>
      <c r="M188" s="139"/>
      <c r="N188" s="139"/>
      <c r="O188" s="139"/>
      <c r="P188" s="136"/>
      <c r="Q188" s="135"/>
    </row>
    <row r="189" spans="1:17" s="137" customFormat="1">
      <c r="A189" s="141"/>
      <c r="B189" s="167"/>
      <c r="C189" s="173"/>
      <c r="D189" s="132"/>
      <c r="E189" s="135"/>
      <c r="F189" s="132"/>
      <c r="G189" s="134"/>
      <c r="H189" s="132"/>
      <c r="J189" s="138"/>
      <c r="K189" s="136"/>
      <c r="L189" s="136"/>
      <c r="M189" s="139"/>
      <c r="N189" s="139"/>
      <c r="O189" s="139"/>
      <c r="P189" s="136"/>
      <c r="Q189" s="135"/>
    </row>
    <row r="190" spans="1:17" s="137" customFormat="1">
      <c r="A190" s="141"/>
      <c r="B190" s="167"/>
      <c r="C190" s="173"/>
      <c r="D190" s="132"/>
      <c r="E190" s="191"/>
      <c r="F190" s="132"/>
      <c r="G190" s="134"/>
      <c r="H190" s="132"/>
      <c r="J190" s="138"/>
      <c r="K190" s="136"/>
      <c r="L190" s="136"/>
      <c r="M190" s="139"/>
      <c r="N190" s="139"/>
      <c r="O190" s="139"/>
      <c r="P190" s="136"/>
      <c r="Q190" s="135"/>
    </row>
    <row r="191" spans="1:17" s="137" customFormat="1">
      <c r="A191" s="141"/>
      <c r="B191" s="189"/>
      <c r="C191" s="132"/>
      <c r="D191" s="132"/>
      <c r="E191" s="191"/>
      <c r="F191" s="132"/>
      <c r="G191" s="134"/>
      <c r="H191" s="175"/>
      <c r="J191" s="138"/>
      <c r="K191" s="136"/>
      <c r="L191" s="136"/>
      <c r="M191" s="139"/>
      <c r="N191" s="139"/>
      <c r="O191" s="139"/>
      <c r="P191" s="136"/>
      <c r="Q191" s="135"/>
    </row>
    <row r="192" spans="1:17" s="137" customFormat="1">
      <c r="A192" s="141"/>
      <c r="B192" s="167"/>
      <c r="C192" s="132"/>
      <c r="D192" s="132"/>
      <c r="E192" s="191"/>
      <c r="F192" s="132"/>
      <c r="G192" s="134"/>
      <c r="H192" s="175"/>
      <c r="J192" s="138"/>
      <c r="K192" s="136"/>
      <c r="L192" s="136"/>
      <c r="M192" s="139"/>
      <c r="N192" s="139"/>
      <c r="O192" s="139"/>
      <c r="P192" s="136"/>
      <c r="Q192" s="135"/>
    </row>
    <row r="193" spans="1:17" s="137" customFormat="1">
      <c r="A193" s="141"/>
      <c r="B193" s="167"/>
      <c r="C193" s="173"/>
      <c r="D193" s="132"/>
      <c r="E193" s="135"/>
      <c r="F193" s="132"/>
      <c r="G193" s="134"/>
      <c r="H193" s="132"/>
      <c r="J193" s="138"/>
      <c r="K193" s="136"/>
      <c r="L193" s="136"/>
      <c r="M193" s="139"/>
      <c r="N193" s="139"/>
      <c r="O193" s="139"/>
      <c r="P193" s="136"/>
      <c r="Q193" s="135"/>
    </row>
    <row r="194" spans="1:17" s="137" customFormat="1">
      <c r="A194" s="141"/>
      <c r="B194" s="167"/>
      <c r="C194" s="173"/>
      <c r="D194" s="132"/>
      <c r="E194" s="133"/>
      <c r="F194" s="132"/>
      <c r="G194" s="134"/>
      <c r="H194" s="132"/>
      <c r="J194" s="138"/>
      <c r="K194" s="136"/>
      <c r="L194" s="136"/>
      <c r="M194" s="139"/>
      <c r="N194" s="139"/>
      <c r="O194" s="139"/>
      <c r="P194" s="136"/>
      <c r="Q194" s="135"/>
    </row>
    <row r="195" spans="1:17" s="137" customFormat="1">
      <c r="A195" s="141"/>
      <c r="B195" s="189"/>
      <c r="C195" s="132"/>
      <c r="D195" s="132"/>
      <c r="E195" s="191"/>
      <c r="F195" s="132"/>
      <c r="G195" s="134"/>
      <c r="H195" s="175"/>
      <c r="J195" s="138"/>
      <c r="K195" s="136"/>
      <c r="L195" s="136"/>
      <c r="M195" s="139"/>
      <c r="N195" s="139"/>
      <c r="O195" s="139"/>
      <c r="P195" s="136"/>
      <c r="Q195" s="135"/>
    </row>
    <row r="196" spans="1:17" s="137" customFormat="1">
      <c r="A196" s="141"/>
      <c r="B196" s="167"/>
      <c r="C196" s="132"/>
      <c r="D196" s="132"/>
      <c r="E196" s="191"/>
      <c r="F196" s="132"/>
      <c r="G196" s="134"/>
      <c r="H196" s="175"/>
      <c r="J196" s="138"/>
      <c r="K196" s="136"/>
      <c r="L196" s="136"/>
      <c r="M196" s="139"/>
      <c r="N196" s="139"/>
      <c r="O196" s="139"/>
      <c r="P196" s="136"/>
      <c r="Q196" s="135"/>
    </row>
    <row r="197" spans="1:17" s="137" customFormat="1">
      <c r="A197" s="141"/>
      <c r="B197" s="167"/>
      <c r="C197" s="173"/>
      <c r="D197" s="132"/>
      <c r="E197" s="135"/>
      <c r="F197" s="132"/>
      <c r="G197" s="134"/>
      <c r="H197" s="132"/>
      <c r="J197" s="138"/>
      <c r="K197" s="136"/>
      <c r="L197" s="136"/>
      <c r="M197" s="139"/>
      <c r="N197" s="139"/>
      <c r="O197" s="139"/>
      <c r="P197" s="136"/>
      <c r="Q197" s="135"/>
    </row>
    <row r="198" spans="1:17" s="137" customFormat="1">
      <c r="A198" s="141"/>
      <c r="B198" s="167"/>
      <c r="C198" s="132"/>
      <c r="D198" s="132"/>
      <c r="E198" s="191"/>
      <c r="F198" s="132"/>
      <c r="G198" s="134"/>
      <c r="H198" s="132"/>
      <c r="J198" s="138"/>
      <c r="K198" s="136"/>
      <c r="L198" s="136"/>
      <c r="M198" s="139"/>
      <c r="N198" s="139"/>
      <c r="O198" s="139"/>
      <c r="P198" s="136"/>
      <c r="Q198" s="135"/>
    </row>
    <row r="199" spans="1:17" s="137" customFormat="1">
      <c r="A199" s="141"/>
      <c r="B199" s="189"/>
      <c r="C199" s="132"/>
      <c r="D199" s="132"/>
      <c r="E199" s="133"/>
      <c r="F199" s="132"/>
      <c r="G199" s="134"/>
      <c r="H199" s="175"/>
      <c r="J199" s="138"/>
      <c r="K199" s="136"/>
      <c r="L199" s="136"/>
      <c r="M199" s="139"/>
      <c r="N199" s="139"/>
      <c r="O199" s="139"/>
      <c r="P199" s="136"/>
      <c r="Q199" s="135"/>
    </row>
    <row r="200" spans="1:17" s="137" customFormat="1">
      <c r="A200" s="141"/>
      <c r="B200" s="167"/>
      <c r="C200" s="132"/>
      <c r="D200" s="132"/>
      <c r="E200" s="133"/>
      <c r="F200" s="132"/>
      <c r="G200" s="134"/>
      <c r="H200" s="175"/>
      <c r="J200" s="138"/>
      <c r="K200" s="136"/>
      <c r="L200" s="136"/>
      <c r="M200" s="139"/>
      <c r="N200" s="139"/>
      <c r="O200" s="139"/>
      <c r="P200" s="136"/>
      <c r="Q200" s="135"/>
    </row>
    <row r="201" spans="1:17" s="137" customFormat="1">
      <c r="A201" s="141"/>
      <c r="B201" s="167"/>
      <c r="C201" s="173"/>
      <c r="D201" s="132"/>
      <c r="E201" s="135"/>
      <c r="F201" s="132"/>
      <c r="G201" s="134"/>
      <c r="H201" s="132"/>
      <c r="J201" s="138"/>
      <c r="K201" s="136"/>
      <c r="L201" s="136"/>
      <c r="M201" s="139"/>
      <c r="N201" s="139"/>
      <c r="O201" s="139"/>
      <c r="P201" s="136"/>
      <c r="Q201" s="135"/>
    </row>
    <row r="202" spans="1:17" s="137" customFormat="1">
      <c r="A202" s="141"/>
      <c r="B202" s="167"/>
      <c r="C202" s="132"/>
      <c r="D202" s="132"/>
      <c r="E202" s="191"/>
      <c r="F202" s="132"/>
      <c r="G202" s="134"/>
      <c r="H202" s="132"/>
      <c r="J202" s="138"/>
      <c r="K202" s="136"/>
      <c r="L202" s="136"/>
      <c r="M202" s="139"/>
      <c r="N202" s="139"/>
      <c r="O202" s="139"/>
      <c r="P202" s="136"/>
      <c r="Q202" s="135"/>
    </row>
    <row r="203" spans="1:17" s="137" customFormat="1" ht="80.25" customHeight="1">
      <c r="A203" s="141"/>
      <c r="B203" s="189"/>
      <c r="C203" s="132"/>
      <c r="D203" s="132"/>
      <c r="E203" s="191"/>
      <c r="F203" s="132"/>
      <c r="G203" s="134"/>
      <c r="H203" s="175"/>
      <c r="J203" s="138"/>
      <c r="K203" s="136"/>
      <c r="L203" s="136"/>
      <c r="M203" s="139"/>
      <c r="N203" s="139"/>
      <c r="O203" s="139"/>
      <c r="P203" s="136"/>
      <c r="Q203" s="135"/>
    </row>
    <row r="204" spans="1:17" s="137" customFormat="1">
      <c r="A204" s="141"/>
      <c r="B204" s="167"/>
      <c r="C204" s="132"/>
      <c r="D204" s="132"/>
      <c r="E204" s="191"/>
      <c r="F204" s="132"/>
      <c r="G204" s="134"/>
      <c r="H204" s="175"/>
      <c r="J204" s="138"/>
      <c r="K204" s="136"/>
      <c r="L204" s="136"/>
      <c r="M204" s="139"/>
      <c r="N204" s="139"/>
      <c r="O204" s="139"/>
      <c r="P204" s="136"/>
      <c r="Q204" s="135"/>
    </row>
    <row r="205" spans="1:17" s="137" customFormat="1">
      <c r="A205" s="141"/>
      <c r="B205" s="167"/>
      <c r="C205" s="173"/>
      <c r="D205" s="132"/>
      <c r="E205" s="135"/>
      <c r="F205" s="132"/>
      <c r="G205" s="134"/>
      <c r="H205" s="132"/>
      <c r="J205" s="138"/>
      <c r="K205" s="136"/>
      <c r="L205" s="136"/>
      <c r="M205" s="139"/>
      <c r="N205" s="139"/>
      <c r="O205" s="139"/>
      <c r="P205" s="136"/>
      <c r="Q205" s="135"/>
    </row>
    <row r="206" spans="1:17" s="137" customFormat="1">
      <c r="A206" s="141"/>
      <c r="B206" s="167"/>
      <c r="C206" s="132"/>
      <c r="D206" s="132"/>
      <c r="E206" s="191"/>
      <c r="F206" s="132"/>
      <c r="G206" s="134"/>
      <c r="H206" s="132"/>
      <c r="J206" s="138"/>
      <c r="K206" s="136"/>
      <c r="L206" s="136"/>
      <c r="M206" s="139"/>
      <c r="N206" s="139"/>
      <c r="O206" s="139"/>
      <c r="P206" s="136"/>
      <c r="Q206" s="135"/>
    </row>
    <row r="207" spans="1:17" s="137" customFormat="1" ht="54.75" customHeight="1">
      <c r="A207" s="141"/>
      <c r="B207" s="189"/>
      <c r="C207" s="132"/>
      <c r="D207" s="132"/>
      <c r="E207" s="133"/>
      <c r="F207" s="132"/>
      <c r="G207" s="134"/>
      <c r="H207" s="175"/>
      <c r="J207" s="138"/>
      <c r="K207" s="136"/>
      <c r="L207" s="136"/>
      <c r="M207" s="139"/>
      <c r="N207" s="139"/>
      <c r="O207" s="139"/>
      <c r="P207" s="136"/>
      <c r="Q207" s="135"/>
    </row>
    <row r="208" spans="1:17" s="137" customFormat="1">
      <c r="A208" s="141"/>
      <c r="B208" s="167"/>
      <c r="C208" s="132"/>
      <c r="D208" s="132"/>
      <c r="E208" s="133"/>
      <c r="F208" s="132"/>
      <c r="G208" s="134"/>
      <c r="H208" s="175"/>
      <c r="J208" s="138"/>
      <c r="K208" s="136"/>
      <c r="L208" s="136"/>
      <c r="M208" s="139"/>
      <c r="N208" s="139"/>
      <c r="O208" s="139"/>
      <c r="P208" s="136"/>
      <c r="Q208" s="135"/>
    </row>
    <row r="209" spans="1:17" s="137" customFormat="1">
      <c r="A209" s="141"/>
      <c r="B209" s="167"/>
      <c r="C209" s="173"/>
      <c r="D209" s="132"/>
      <c r="E209" s="135"/>
      <c r="F209" s="132"/>
      <c r="G209" s="134"/>
      <c r="H209" s="132"/>
      <c r="J209" s="138"/>
      <c r="K209" s="136"/>
      <c r="L209" s="136"/>
      <c r="M209" s="139"/>
      <c r="N209" s="139"/>
      <c r="O209" s="139"/>
      <c r="P209" s="136"/>
      <c r="Q209" s="135"/>
    </row>
    <row r="210" spans="1:17" s="137" customFormat="1">
      <c r="A210" s="141"/>
      <c r="B210" s="167"/>
      <c r="C210" s="132"/>
      <c r="D210" s="132"/>
      <c r="E210" s="191"/>
      <c r="F210" s="132"/>
      <c r="G210" s="134"/>
      <c r="H210" s="132"/>
      <c r="J210" s="138"/>
      <c r="K210" s="136"/>
      <c r="L210" s="136"/>
      <c r="M210" s="139"/>
      <c r="N210" s="139"/>
      <c r="O210" s="139"/>
      <c r="P210" s="136"/>
      <c r="Q210" s="135"/>
    </row>
    <row r="211" spans="1:17" s="137" customFormat="1" ht="54" customHeight="1">
      <c r="A211" s="141"/>
      <c r="B211" s="189"/>
      <c r="C211" s="132"/>
      <c r="D211" s="132"/>
      <c r="E211" s="133"/>
      <c r="F211" s="132"/>
      <c r="G211" s="134"/>
      <c r="H211" s="175"/>
      <c r="J211" s="138"/>
      <c r="K211" s="136"/>
      <c r="L211" s="136"/>
      <c r="M211" s="139"/>
      <c r="N211" s="139"/>
      <c r="O211" s="139"/>
      <c r="P211" s="136"/>
      <c r="Q211" s="135"/>
    </row>
    <row r="212" spans="1:17" s="137" customFormat="1">
      <c r="A212" s="141"/>
      <c r="B212" s="167"/>
      <c r="C212" s="132"/>
      <c r="D212" s="132"/>
      <c r="E212" s="133"/>
      <c r="F212" s="132"/>
      <c r="G212" s="134"/>
      <c r="H212" s="175"/>
      <c r="J212" s="138"/>
      <c r="K212" s="136"/>
      <c r="L212" s="136"/>
      <c r="M212" s="139"/>
      <c r="N212" s="139"/>
      <c r="O212" s="139"/>
      <c r="P212" s="136"/>
      <c r="Q212" s="135"/>
    </row>
    <row r="213" spans="1:17" s="137" customFormat="1">
      <c r="A213" s="141"/>
      <c r="B213" s="167"/>
      <c r="C213" s="173"/>
      <c r="D213" s="132"/>
      <c r="E213" s="135"/>
      <c r="F213" s="132"/>
      <c r="G213" s="134"/>
      <c r="H213" s="132"/>
      <c r="J213" s="138"/>
      <c r="K213" s="136"/>
      <c r="L213" s="136"/>
      <c r="M213" s="139"/>
      <c r="N213" s="139"/>
      <c r="O213" s="139"/>
      <c r="P213" s="136"/>
      <c r="Q213" s="135"/>
    </row>
    <row r="214" spans="1:17" s="137" customFormat="1">
      <c r="A214" s="141"/>
      <c r="B214" s="167"/>
      <c r="C214" s="132"/>
      <c r="D214" s="132"/>
      <c r="E214" s="135"/>
      <c r="F214" s="132"/>
      <c r="G214" s="134"/>
      <c r="H214" s="132"/>
      <c r="J214" s="138"/>
      <c r="K214" s="136"/>
      <c r="L214" s="136"/>
      <c r="M214" s="139"/>
      <c r="N214" s="139"/>
      <c r="O214" s="139"/>
      <c r="P214" s="136"/>
      <c r="Q214" s="135"/>
    </row>
    <row r="215" spans="1:17" s="137" customFormat="1" ht="94.5" customHeight="1">
      <c r="A215" s="141"/>
      <c r="B215" s="189"/>
      <c r="C215" s="132"/>
      <c r="D215" s="132"/>
      <c r="E215" s="133"/>
      <c r="F215" s="132"/>
      <c r="G215" s="134"/>
      <c r="H215" s="175"/>
      <c r="J215" s="138"/>
      <c r="K215" s="136"/>
      <c r="L215" s="136"/>
      <c r="M215" s="139"/>
      <c r="N215" s="139"/>
      <c r="O215" s="139"/>
      <c r="P215" s="136"/>
      <c r="Q215" s="135"/>
    </row>
    <row r="216" spans="1:17" s="137" customFormat="1">
      <c r="A216" s="141"/>
      <c r="B216" s="167"/>
      <c r="C216" s="132"/>
      <c r="D216" s="132"/>
      <c r="E216" s="133"/>
      <c r="F216" s="132"/>
      <c r="G216" s="134"/>
      <c r="H216" s="175"/>
      <c r="J216" s="138"/>
      <c r="K216" s="136"/>
      <c r="L216" s="136"/>
      <c r="M216" s="139"/>
      <c r="N216" s="139"/>
      <c r="O216" s="139"/>
      <c r="P216" s="136"/>
      <c r="Q216" s="135"/>
    </row>
    <row r="217" spans="1:17">
      <c r="B217" s="167"/>
      <c r="C217" s="173"/>
      <c r="E217" s="135"/>
      <c r="H217" s="132"/>
    </row>
    <row r="218" spans="1:17">
      <c r="B218" s="167"/>
      <c r="C218" s="173"/>
      <c r="H218" s="132"/>
      <c r="Q218" s="188"/>
    </row>
    <row r="219" spans="1:17">
      <c r="B219" s="189"/>
      <c r="H219" s="175"/>
      <c r="K219" s="167"/>
    </row>
    <row r="220" spans="1:17">
      <c r="B220" s="189"/>
      <c r="H220" s="175"/>
      <c r="K220" s="167"/>
    </row>
    <row r="221" spans="1:17">
      <c r="B221" s="167"/>
      <c r="H221" s="175"/>
    </row>
    <row r="222" spans="1:17">
      <c r="B222" s="167"/>
      <c r="C222" s="173"/>
      <c r="H222" s="132"/>
    </row>
    <row r="223" spans="1:17">
      <c r="B223" s="167"/>
      <c r="C223" s="173"/>
      <c r="H223" s="132"/>
    </row>
    <row r="224" spans="1:17">
      <c r="B224" s="167"/>
      <c r="C224" s="173"/>
      <c r="H224" s="132"/>
    </row>
    <row r="225" spans="2:17">
      <c r="B225" s="167"/>
      <c r="C225" s="173"/>
      <c r="H225" s="132"/>
    </row>
    <row r="226" spans="2:17">
      <c r="B226" s="167"/>
      <c r="C226" s="173"/>
      <c r="H226" s="132"/>
    </row>
    <row r="227" spans="2:17">
      <c r="B227" s="167"/>
      <c r="C227" s="173"/>
      <c r="H227" s="132"/>
    </row>
    <row r="228" spans="2:17">
      <c r="B228" s="167"/>
      <c r="C228" s="173"/>
      <c r="H228" s="132"/>
    </row>
    <row r="229" spans="2:17">
      <c r="B229" s="167"/>
      <c r="C229" s="173"/>
      <c r="H229" s="132"/>
    </row>
    <row r="230" spans="2:17">
      <c r="B230" s="167"/>
      <c r="C230" s="173"/>
      <c r="H230" s="132"/>
    </row>
    <row r="231" spans="2:17">
      <c r="B231" s="167"/>
      <c r="C231" s="173"/>
      <c r="E231" s="135"/>
      <c r="H231" s="132"/>
    </row>
    <row r="232" spans="2:17">
      <c r="B232" s="167"/>
      <c r="C232" s="173"/>
      <c r="H232" s="132"/>
    </row>
    <row r="233" spans="2:17">
      <c r="B233" s="167"/>
      <c r="C233" s="173"/>
      <c r="H233" s="132"/>
    </row>
    <row r="234" spans="2:17">
      <c r="B234" s="167"/>
      <c r="C234" s="173"/>
      <c r="H234" s="132"/>
    </row>
    <row r="235" spans="2:17">
      <c r="B235" s="167"/>
      <c r="H235" s="132"/>
      <c r="Q235" s="188"/>
    </row>
    <row r="236" spans="2:17">
      <c r="B236" s="189"/>
      <c r="H236" s="175"/>
    </row>
    <row r="237" spans="2:17">
      <c r="B237" s="167"/>
      <c r="H237" s="175"/>
    </row>
    <row r="238" spans="2:17">
      <c r="B238" s="167"/>
      <c r="C238" s="173"/>
      <c r="H238" s="132"/>
    </row>
    <row r="239" spans="2:17">
      <c r="B239" s="167"/>
      <c r="H239" s="132"/>
      <c r="Q239" s="188"/>
    </row>
    <row r="240" spans="2:17">
      <c r="B240" s="189"/>
      <c r="H240" s="175"/>
    </row>
    <row r="241" spans="1:17">
      <c r="B241" s="167"/>
      <c r="H241" s="175"/>
    </row>
    <row r="242" spans="1:17">
      <c r="B242" s="167"/>
      <c r="C242" s="173"/>
      <c r="E242" s="135"/>
      <c r="H242" s="132"/>
    </row>
    <row r="243" spans="1:17">
      <c r="B243" s="167"/>
      <c r="C243" s="173"/>
      <c r="H243" s="132"/>
    </row>
    <row r="244" spans="1:17">
      <c r="B244" s="189"/>
      <c r="H244" s="175"/>
    </row>
    <row r="245" spans="1:17">
      <c r="B245" s="167"/>
      <c r="H245" s="175"/>
    </row>
    <row r="246" spans="1:17">
      <c r="B246" s="167"/>
      <c r="C246" s="173"/>
      <c r="H246" s="132"/>
    </row>
    <row r="247" spans="1:17">
      <c r="B247" s="167"/>
      <c r="C247" s="173"/>
      <c r="H247" s="132"/>
    </row>
    <row r="248" spans="1:17" s="5" customFormat="1">
      <c r="A248" s="6"/>
      <c r="B248" s="10"/>
      <c r="C248" s="192"/>
      <c r="D248" s="2"/>
      <c r="E248" s="133"/>
      <c r="F248" s="2"/>
      <c r="G248" s="105"/>
      <c r="H248" s="15"/>
      <c r="I248" s="25"/>
      <c r="J248" s="21"/>
      <c r="M248" s="29"/>
      <c r="N248" s="29"/>
      <c r="O248" s="29"/>
      <c r="Q248" s="89"/>
    </row>
    <row r="249" spans="1:17" s="5" customFormat="1">
      <c r="A249" s="6"/>
      <c r="B249" s="10"/>
      <c r="C249" s="192"/>
      <c r="D249" s="2"/>
      <c r="E249" s="133"/>
      <c r="F249" s="2"/>
      <c r="G249" s="105"/>
      <c r="H249" s="15"/>
      <c r="I249" s="25"/>
      <c r="J249" s="21"/>
      <c r="M249" s="29"/>
      <c r="N249" s="29"/>
      <c r="O249" s="29"/>
      <c r="Q249" s="89"/>
    </row>
    <row r="250" spans="1:17" s="5" customFormat="1">
      <c r="A250" s="6"/>
      <c r="B250" s="10"/>
      <c r="C250" s="74"/>
      <c r="D250" s="2"/>
      <c r="E250" s="133"/>
      <c r="F250" s="2"/>
      <c r="G250" s="105"/>
      <c r="H250" s="2"/>
      <c r="I250" s="25"/>
      <c r="J250" s="21"/>
      <c r="M250" s="29"/>
      <c r="N250" s="29"/>
      <c r="O250" s="29"/>
      <c r="Q250" s="89"/>
    </row>
    <row r="251" spans="1:17" s="5" customFormat="1">
      <c r="A251" s="8"/>
      <c r="B251" s="14"/>
      <c r="C251" s="14"/>
      <c r="D251" s="193"/>
      <c r="E251" s="133"/>
      <c r="F251" s="193"/>
      <c r="G251" s="194"/>
      <c r="H251" s="193"/>
      <c r="I251" s="25"/>
      <c r="J251" s="21"/>
      <c r="M251" s="29"/>
      <c r="N251" s="29"/>
      <c r="O251" s="29"/>
      <c r="Q251" s="195"/>
    </row>
    <row r="252" spans="1:17" s="5" customFormat="1">
      <c r="A252" s="6"/>
      <c r="B252" s="10"/>
      <c r="C252" s="192"/>
      <c r="D252" s="2"/>
      <c r="E252" s="133"/>
      <c r="F252" s="2"/>
      <c r="G252" s="105"/>
      <c r="H252" s="15"/>
      <c r="I252" s="25"/>
      <c r="J252" s="21"/>
      <c r="M252" s="29"/>
      <c r="N252" s="29"/>
      <c r="O252" s="29"/>
      <c r="Q252" s="89"/>
    </row>
    <row r="253" spans="1:17" s="5" customFormat="1">
      <c r="A253" s="6"/>
      <c r="B253" s="10"/>
      <c r="C253" s="192"/>
      <c r="D253" s="2"/>
      <c r="E253" s="133"/>
      <c r="F253" s="2"/>
      <c r="G253" s="105"/>
      <c r="H253" s="15"/>
      <c r="I253" s="25"/>
      <c r="J253" s="21"/>
      <c r="M253" s="29"/>
      <c r="N253" s="29"/>
      <c r="O253" s="29"/>
      <c r="Q253" s="89"/>
    </row>
    <row r="254" spans="1:17" s="5" customFormat="1">
      <c r="A254" s="6"/>
      <c r="B254" s="10"/>
      <c r="C254" s="74"/>
      <c r="D254" s="2"/>
      <c r="E254" s="135"/>
      <c r="F254" s="2"/>
      <c r="G254" s="105"/>
      <c r="H254" s="2"/>
      <c r="I254" s="25"/>
      <c r="J254" s="21"/>
      <c r="M254" s="29"/>
      <c r="N254" s="29"/>
      <c r="O254" s="29"/>
      <c r="Q254" s="89"/>
    </row>
    <row r="255" spans="1:17" s="5" customFormat="1">
      <c r="A255" s="6"/>
      <c r="B255" s="10"/>
      <c r="C255" s="192"/>
      <c r="D255" s="2"/>
      <c r="E255" s="133"/>
      <c r="F255" s="2"/>
      <c r="G255" s="105"/>
      <c r="H255" s="2"/>
      <c r="I255" s="25"/>
      <c r="J255" s="21"/>
      <c r="M255" s="29"/>
      <c r="N255" s="29"/>
      <c r="O255" s="29"/>
      <c r="Q255" s="89"/>
    </row>
    <row r="256" spans="1:17" s="5" customFormat="1">
      <c r="A256" s="6"/>
      <c r="B256" s="10"/>
      <c r="C256" s="2"/>
      <c r="D256" s="2"/>
      <c r="E256" s="133"/>
      <c r="F256" s="2"/>
      <c r="G256" s="94"/>
      <c r="H256" s="15"/>
      <c r="Q256" s="89"/>
    </row>
    <row r="257" spans="1:17" s="5" customFormat="1">
      <c r="A257" s="6"/>
      <c r="B257" s="10"/>
      <c r="C257" s="2"/>
      <c r="D257" s="2"/>
      <c r="E257" s="133"/>
      <c r="F257" s="2"/>
      <c r="G257" s="94"/>
      <c r="H257" s="15"/>
      <c r="Q257" s="89"/>
    </row>
    <row r="258" spans="1:17" s="5" customFormat="1">
      <c r="A258" s="6"/>
      <c r="B258" s="10"/>
      <c r="C258" s="4"/>
      <c r="D258" s="2"/>
      <c r="E258" s="135"/>
      <c r="F258" s="2"/>
      <c r="G258" s="94"/>
      <c r="H258" s="2"/>
      <c r="Q258" s="89"/>
    </row>
    <row r="259" spans="1:17" s="5" customFormat="1">
      <c r="A259" s="8"/>
      <c r="B259" s="14"/>
      <c r="C259" s="14"/>
      <c r="D259" s="193"/>
      <c r="E259" s="133"/>
      <c r="F259" s="193"/>
      <c r="G259" s="194"/>
      <c r="H259" s="193"/>
      <c r="I259" s="25"/>
      <c r="J259" s="21"/>
      <c r="M259" s="29"/>
      <c r="N259" s="29"/>
      <c r="O259" s="29"/>
      <c r="Q259" s="195"/>
    </row>
    <row r="260" spans="1:17" s="5" customFormat="1">
      <c r="A260" s="6"/>
      <c r="B260" s="10"/>
      <c r="C260" s="192"/>
      <c r="D260" s="2"/>
      <c r="E260" s="133"/>
      <c r="F260" s="2"/>
      <c r="G260" s="105"/>
      <c r="H260" s="15"/>
      <c r="I260" s="25"/>
      <c r="J260" s="21"/>
      <c r="M260" s="29"/>
      <c r="N260" s="29"/>
      <c r="O260" s="29"/>
      <c r="Q260" s="89"/>
    </row>
    <row r="261" spans="1:17" s="5" customFormat="1">
      <c r="A261" s="6"/>
      <c r="B261" s="10"/>
      <c r="C261" s="192"/>
      <c r="D261" s="2"/>
      <c r="E261" s="133"/>
      <c r="F261" s="2"/>
      <c r="G261" s="105"/>
      <c r="H261" s="15"/>
      <c r="I261" s="25"/>
      <c r="J261" s="21"/>
      <c r="M261" s="29"/>
      <c r="N261" s="29"/>
      <c r="O261" s="29"/>
      <c r="Q261" s="89"/>
    </row>
    <row r="262" spans="1:17" s="5" customFormat="1">
      <c r="A262" s="6"/>
      <c r="B262" s="10"/>
      <c r="C262" s="74"/>
      <c r="D262" s="2"/>
      <c r="E262" s="133"/>
      <c r="F262" s="2"/>
      <c r="G262" s="105"/>
      <c r="H262" s="2"/>
      <c r="I262" s="25"/>
      <c r="J262" s="21"/>
      <c r="M262" s="29"/>
      <c r="N262" s="29"/>
      <c r="O262" s="29"/>
      <c r="Q262" s="89"/>
    </row>
    <row r="263" spans="1:17" s="5" customFormat="1">
      <c r="A263" s="8"/>
      <c r="B263" s="14"/>
      <c r="C263" s="14"/>
      <c r="D263" s="193"/>
      <c r="E263" s="133"/>
      <c r="F263" s="193"/>
      <c r="G263" s="194"/>
      <c r="H263" s="193"/>
      <c r="I263" s="25"/>
      <c r="J263" s="196"/>
      <c r="M263" s="29"/>
      <c r="N263" s="29"/>
      <c r="O263" s="29"/>
      <c r="Q263" s="195"/>
    </row>
    <row r="264" spans="1:17" s="5" customFormat="1">
      <c r="A264" s="6"/>
      <c r="B264" s="10"/>
      <c r="C264" s="192"/>
      <c r="D264" s="2"/>
      <c r="E264" s="133"/>
      <c r="F264" s="2"/>
      <c r="G264" s="105"/>
      <c r="H264" s="15"/>
      <c r="I264" s="25"/>
      <c r="J264" s="21"/>
      <c r="M264" s="29"/>
      <c r="N264" s="29"/>
      <c r="O264" s="29"/>
      <c r="Q264" s="89"/>
    </row>
    <row r="265" spans="1:17" s="5" customFormat="1">
      <c r="A265" s="6"/>
      <c r="B265" s="10"/>
      <c r="C265" s="192"/>
      <c r="D265" s="2"/>
      <c r="E265" s="133"/>
      <c r="F265" s="2"/>
      <c r="G265" s="105"/>
      <c r="H265" s="15"/>
      <c r="I265" s="25"/>
      <c r="J265" s="21"/>
      <c r="M265" s="29"/>
      <c r="N265" s="29"/>
      <c r="O265" s="29"/>
      <c r="Q265" s="89"/>
    </row>
    <row r="266" spans="1:17" s="5" customFormat="1">
      <c r="A266" s="6"/>
      <c r="B266" s="10"/>
      <c r="C266" s="74"/>
      <c r="D266" s="2"/>
      <c r="E266" s="133"/>
      <c r="F266" s="2"/>
      <c r="G266" s="105"/>
      <c r="H266" s="2"/>
      <c r="I266" s="25"/>
      <c r="J266" s="21"/>
      <c r="M266" s="29"/>
      <c r="N266" s="29"/>
      <c r="O266" s="29"/>
      <c r="Q266" s="89"/>
    </row>
    <row r="267" spans="1:17" s="5" customFormat="1">
      <c r="A267" s="8"/>
      <c r="B267" s="14"/>
      <c r="C267" s="14"/>
      <c r="D267" s="193"/>
      <c r="E267" s="133"/>
      <c r="F267" s="193"/>
      <c r="G267" s="194"/>
      <c r="H267" s="193"/>
      <c r="I267" s="25"/>
      <c r="J267" s="21"/>
      <c r="M267" s="29"/>
      <c r="N267" s="29"/>
      <c r="O267" s="29"/>
      <c r="Q267" s="195"/>
    </row>
    <row r="268" spans="1:17" s="5" customFormat="1">
      <c r="A268" s="6"/>
      <c r="B268" s="10"/>
      <c r="C268" s="192"/>
      <c r="D268" s="2"/>
      <c r="E268" s="133"/>
      <c r="F268" s="2"/>
      <c r="G268" s="105"/>
      <c r="H268" s="15"/>
      <c r="I268" s="25"/>
      <c r="J268" s="21"/>
      <c r="M268" s="29"/>
      <c r="N268" s="29"/>
      <c r="O268" s="29"/>
      <c r="Q268" s="89"/>
    </row>
    <row r="269" spans="1:17" s="5" customFormat="1">
      <c r="A269" s="6"/>
      <c r="B269" s="10"/>
      <c r="C269" s="192"/>
      <c r="D269" s="2"/>
      <c r="E269" s="133"/>
      <c r="F269" s="2"/>
      <c r="G269" s="105"/>
      <c r="H269" s="15"/>
      <c r="I269" s="25"/>
      <c r="J269" s="21"/>
      <c r="M269" s="29"/>
      <c r="N269" s="29"/>
      <c r="O269" s="29"/>
      <c r="Q269" s="89"/>
    </row>
    <row r="270" spans="1:17" s="5" customFormat="1">
      <c r="A270" s="6"/>
      <c r="B270" s="10"/>
      <c r="C270" s="74"/>
      <c r="D270" s="2"/>
      <c r="E270" s="133"/>
      <c r="F270" s="2"/>
      <c r="G270" s="105"/>
      <c r="H270" s="2"/>
      <c r="I270" s="25"/>
      <c r="J270" s="21"/>
      <c r="M270" s="29"/>
      <c r="N270" s="29"/>
      <c r="O270" s="29"/>
      <c r="Q270" s="89"/>
    </row>
    <row r="271" spans="1:17" s="5" customFormat="1">
      <c r="A271" s="8"/>
      <c r="B271" s="14"/>
      <c r="C271" s="14"/>
      <c r="D271" s="193"/>
      <c r="E271" s="133"/>
      <c r="F271" s="193"/>
      <c r="G271" s="194"/>
      <c r="H271" s="193"/>
      <c r="I271" s="25"/>
      <c r="J271" s="21"/>
      <c r="M271" s="29"/>
      <c r="N271" s="29"/>
      <c r="O271" s="29"/>
      <c r="Q271" s="195"/>
    </row>
    <row r="272" spans="1:17" s="5" customFormat="1">
      <c r="A272" s="6"/>
      <c r="B272" s="10"/>
      <c r="C272" s="192"/>
      <c r="D272" s="2"/>
      <c r="E272" s="133"/>
      <c r="F272" s="2"/>
      <c r="G272" s="105"/>
      <c r="H272" s="15"/>
      <c r="I272" s="25"/>
      <c r="J272" s="21"/>
      <c r="M272" s="29"/>
      <c r="N272" s="29"/>
      <c r="O272" s="29"/>
      <c r="Q272" s="89"/>
    </row>
    <row r="273" spans="1:17" s="5" customFormat="1">
      <c r="A273" s="6"/>
      <c r="B273" s="10"/>
      <c r="C273" s="192"/>
      <c r="D273" s="2"/>
      <c r="E273" s="133"/>
      <c r="F273" s="2"/>
      <c r="G273" s="105"/>
      <c r="H273" s="15"/>
      <c r="I273" s="25"/>
      <c r="J273" s="21"/>
      <c r="M273" s="29"/>
      <c r="N273" s="29"/>
      <c r="O273" s="29"/>
      <c r="Q273" s="89"/>
    </row>
    <row r="274" spans="1:17" s="5" customFormat="1">
      <c r="A274" s="6"/>
      <c r="B274" s="10"/>
      <c r="C274" s="74"/>
      <c r="D274" s="2"/>
      <c r="E274" s="133"/>
      <c r="F274" s="2"/>
      <c r="G274" s="105"/>
      <c r="H274" s="2"/>
      <c r="I274" s="25"/>
      <c r="J274" s="21"/>
      <c r="M274" s="29"/>
      <c r="N274" s="29"/>
      <c r="O274" s="29"/>
      <c r="Q274" s="89"/>
    </row>
    <row r="275" spans="1:17" s="5" customFormat="1">
      <c r="A275" s="6"/>
      <c r="B275" s="10"/>
      <c r="C275" s="192"/>
      <c r="D275" s="2"/>
      <c r="E275" s="133"/>
      <c r="F275" s="2"/>
      <c r="G275" s="105"/>
      <c r="H275" s="15"/>
      <c r="I275" s="25"/>
      <c r="J275" s="21"/>
      <c r="M275" s="29"/>
      <c r="N275" s="29"/>
      <c r="O275" s="29"/>
      <c r="Q275" s="94"/>
    </row>
    <row r="276" spans="1:17" s="5" customFormat="1">
      <c r="A276" s="6"/>
      <c r="B276" s="10"/>
      <c r="C276" s="192"/>
      <c r="D276" s="2"/>
      <c r="E276" s="133"/>
      <c r="F276" s="2"/>
      <c r="G276" s="105"/>
      <c r="H276" s="15"/>
      <c r="Q276" s="89"/>
    </row>
    <row r="277" spans="1:17" s="5" customFormat="1">
      <c r="A277" s="6"/>
      <c r="B277" s="10"/>
      <c r="C277" s="192"/>
      <c r="D277" s="2"/>
      <c r="E277" s="133"/>
      <c r="F277" s="2"/>
      <c r="G277" s="105"/>
      <c r="H277" s="15"/>
      <c r="Q277" s="89"/>
    </row>
    <row r="278" spans="1:17" s="5" customFormat="1">
      <c r="A278" s="6"/>
      <c r="B278" s="10"/>
      <c r="C278" s="74"/>
      <c r="D278" s="2"/>
      <c r="E278" s="133"/>
      <c r="F278" s="2"/>
      <c r="G278" s="105"/>
      <c r="H278" s="2"/>
      <c r="Q278" s="89"/>
    </row>
    <row r="279" spans="1:17">
      <c r="B279" s="167"/>
      <c r="C279" s="173"/>
      <c r="H279" s="132"/>
    </row>
    <row r="280" spans="1:17" s="5" customFormat="1">
      <c r="A280" s="6"/>
      <c r="B280" s="10"/>
      <c r="C280" s="192"/>
      <c r="D280" s="2"/>
      <c r="E280" s="133"/>
      <c r="F280" s="2"/>
      <c r="G280" s="105"/>
      <c r="H280" s="15"/>
      <c r="I280" s="25"/>
      <c r="J280" s="21"/>
      <c r="M280" s="29"/>
      <c r="N280" s="29"/>
      <c r="O280" s="29"/>
      <c r="Q280" s="89"/>
    </row>
    <row r="281" spans="1:17" s="5" customFormat="1">
      <c r="A281" s="6"/>
      <c r="B281" s="10"/>
      <c r="C281" s="192"/>
      <c r="D281" s="2"/>
      <c r="E281" s="133"/>
      <c r="F281" s="2"/>
      <c r="G281" s="105"/>
      <c r="H281" s="15"/>
      <c r="I281" s="25"/>
      <c r="J281" s="21"/>
      <c r="M281" s="29"/>
      <c r="N281" s="29"/>
      <c r="O281" s="29"/>
      <c r="Q281" s="89"/>
    </row>
    <row r="282" spans="1:17" s="5" customFormat="1">
      <c r="A282" s="6"/>
      <c r="B282" s="10"/>
      <c r="C282" s="74"/>
      <c r="D282" s="2"/>
      <c r="E282" s="133"/>
      <c r="F282" s="2"/>
      <c r="G282" s="105"/>
      <c r="H282" s="2"/>
      <c r="I282" s="25"/>
      <c r="J282" s="21"/>
      <c r="M282" s="29"/>
      <c r="N282" s="29"/>
      <c r="O282" s="29"/>
      <c r="Q282" s="89"/>
    </row>
    <row r="283" spans="1:17" s="5" customFormat="1">
      <c r="A283" s="8"/>
      <c r="B283" s="14"/>
      <c r="C283" s="14"/>
      <c r="D283" s="193"/>
      <c r="E283" s="133"/>
      <c r="F283" s="193"/>
      <c r="G283" s="194"/>
      <c r="H283" s="193"/>
      <c r="I283" s="25"/>
      <c r="J283" s="21"/>
      <c r="M283" s="29"/>
      <c r="N283" s="29"/>
      <c r="O283" s="29"/>
      <c r="Q283" s="195"/>
    </row>
    <row r="284" spans="1:17" s="5" customFormat="1">
      <c r="A284" s="6"/>
      <c r="B284" s="10"/>
      <c r="C284" s="192"/>
      <c r="D284" s="2"/>
      <c r="E284" s="133"/>
      <c r="F284" s="2"/>
      <c r="G284" s="105"/>
      <c r="H284" s="15"/>
      <c r="I284" s="25"/>
      <c r="J284" s="21"/>
      <c r="M284" s="29"/>
      <c r="N284" s="29"/>
      <c r="O284" s="29"/>
      <c r="Q284" s="89"/>
    </row>
    <row r="285" spans="1:17" s="5" customFormat="1">
      <c r="A285" s="6"/>
      <c r="B285" s="10"/>
      <c r="C285" s="192"/>
      <c r="D285" s="2"/>
      <c r="E285" s="133"/>
      <c r="F285" s="2"/>
      <c r="G285" s="105"/>
      <c r="H285" s="15"/>
      <c r="I285" s="25"/>
      <c r="J285" s="21"/>
      <c r="M285" s="29"/>
      <c r="N285" s="29"/>
      <c r="O285" s="29"/>
      <c r="Q285" s="89"/>
    </row>
    <row r="286" spans="1:17" s="5" customFormat="1">
      <c r="A286" s="6"/>
      <c r="B286" s="10"/>
      <c r="C286" s="74"/>
      <c r="D286" s="2"/>
      <c r="E286" s="133"/>
      <c r="F286" s="2"/>
      <c r="G286" s="105"/>
      <c r="H286" s="2"/>
      <c r="I286" s="25"/>
      <c r="J286" s="21"/>
      <c r="M286" s="29"/>
      <c r="N286" s="29"/>
      <c r="O286" s="29"/>
      <c r="Q286" s="89"/>
    </row>
    <row r="287" spans="1:17" s="5" customFormat="1">
      <c r="A287" s="8"/>
      <c r="B287" s="14"/>
      <c r="C287" s="14"/>
      <c r="D287" s="193"/>
      <c r="E287" s="133"/>
      <c r="F287" s="193"/>
      <c r="G287" s="194"/>
      <c r="H287" s="193"/>
      <c r="I287" s="25"/>
      <c r="J287" s="21"/>
      <c r="M287" s="29"/>
      <c r="N287" s="29"/>
      <c r="O287" s="29"/>
      <c r="Q287" s="195"/>
    </row>
    <row r="288" spans="1:17" s="5" customFormat="1">
      <c r="A288" s="6"/>
      <c r="B288" s="10"/>
      <c r="C288" s="192"/>
      <c r="D288" s="2"/>
      <c r="E288" s="133"/>
      <c r="F288" s="2"/>
      <c r="G288" s="105"/>
      <c r="H288" s="15"/>
      <c r="I288" s="25"/>
      <c r="J288" s="21"/>
      <c r="M288" s="29"/>
      <c r="N288" s="29"/>
      <c r="O288" s="29"/>
      <c r="Q288" s="89"/>
    </row>
    <row r="289" spans="1:17" s="5" customFormat="1">
      <c r="A289" s="6"/>
      <c r="B289" s="10"/>
      <c r="C289" s="192"/>
      <c r="D289" s="2"/>
      <c r="E289" s="133"/>
      <c r="F289" s="2"/>
      <c r="G289" s="105"/>
      <c r="H289" s="15"/>
      <c r="I289" s="25"/>
      <c r="J289" s="21"/>
      <c r="M289" s="29"/>
      <c r="N289" s="29"/>
      <c r="O289" s="29"/>
      <c r="Q289" s="89"/>
    </row>
    <row r="290" spans="1:17" s="5" customFormat="1">
      <c r="A290" s="6"/>
      <c r="B290" s="10"/>
      <c r="C290" s="74"/>
      <c r="D290" s="2"/>
      <c r="E290" s="133"/>
      <c r="F290" s="2"/>
      <c r="G290" s="105"/>
      <c r="H290" s="2"/>
      <c r="I290" s="25"/>
      <c r="J290" s="21"/>
      <c r="M290" s="29"/>
      <c r="N290" s="29"/>
      <c r="O290" s="29"/>
      <c r="Q290" s="89"/>
    </row>
    <row r="291" spans="1:17" s="5" customFormat="1">
      <c r="A291" s="8"/>
      <c r="B291" s="14"/>
      <c r="C291" s="14"/>
      <c r="D291" s="193"/>
      <c r="E291" s="133"/>
      <c r="F291" s="193"/>
      <c r="G291" s="194"/>
      <c r="H291" s="193"/>
      <c r="I291" s="25"/>
      <c r="J291" s="21"/>
      <c r="M291" s="29"/>
      <c r="N291" s="29"/>
      <c r="O291" s="29"/>
      <c r="Q291" s="195"/>
    </row>
    <row r="292" spans="1:17" s="5" customFormat="1">
      <c r="A292" s="6"/>
      <c r="B292" s="10"/>
      <c r="C292" s="192"/>
      <c r="D292" s="2"/>
      <c r="E292" s="133"/>
      <c r="F292" s="2"/>
      <c r="G292" s="105"/>
      <c r="H292" s="15"/>
      <c r="I292" s="25"/>
      <c r="J292" s="21"/>
      <c r="M292" s="29"/>
      <c r="N292" s="29"/>
      <c r="O292" s="29"/>
      <c r="Q292" s="89"/>
    </row>
    <row r="293" spans="1:17" s="5" customFormat="1">
      <c r="A293" s="6"/>
      <c r="B293" s="10"/>
      <c r="C293" s="192"/>
      <c r="D293" s="2"/>
      <c r="E293" s="133"/>
      <c r="F293" s="2"/>
      <c r="G293" s="105"/>
      <c r="H293" s="15"/>
      <c r="I293" s="25"/>
      <c r="J293" s="21"/>
      <c r="M293" s="29"/>
      <c r="N293" s="29"/>
      <c r="O293" s="29"/>
      <c r="Q293" s="89"/>
    </row>
    <row r="294" spans="1:17" s="5" customFormat="1">
      <c r="A294" s="6"/>
      <c r="B294" s="10"/>
      <c r="C294" s="74"/>
      <c r="D294" s="2"/>
      <c r="E294" s="133"/>
      <c r="F294" s="2"/>
      <c r="G294" s="105"/>
      <c r="H294" s="2"/>
      <c r="I294" s="25"/>
      <c r="J294" s="21"/>
      <c r="M294" s="29"/>
      <c r="N294" s="29"/>
      <c r="O294" s="29"/>
      <c r="Q294" s="89"/>
    </row>
    <row r="295" spans="1:17">
      <c r="B295" s="167"/>
      <c r="H295" s="175"/>
      <c r="I295" s="136"/>
      <c r="J295" s="136"/>
      <c r="M295" s="136"/>
      <c r="N295" s="136"/>
      <c r="O295" s="136"/>
    </row>
    <row r="296" spans="1:17">
      <c r="B296" s="167"/>
      <c r="H296" s="175"/>
      <c r="I296" s="136"/>
      <c r="J296" s="136"/>
      <c r="M296" s="136"/>
      <c r="N296" s="136"/>
      <c r="O296" s="136"/>
    </row>
    <row r="297" spans="1:17">
      <c r="B297" s="167"/>
      <c r="H297" s="175"/>
      <c r="I297" s="136"/>
      <c r="J297" s="136"/>
      <c r="M297" s="136"/>
      <c r="N297" s="136"/>
      <c r="O297" s="136"/>
    </row>
    <row r="298" spans="1:17">
      <c r="B298" s="167"/>
      <c r="C298" s="173"/>
      <c r="E298" s="135"/>
      <c r="H298" s="132"/>
      <c r="I298" s="136"/>
      <c r="J298" s="136"/>
      <c r="M298" s="136"/>
      <c r="N298" s="136"/>
      <c r="O298" s="136"/>
    </row>
    <row r="299" spans="1:17">
      <c r="B299" s="167"/>
      <c r="C299" s="173"/>
      <c r="H299" s="132"/>
      <c r="I299" s="136"/>
      <c r="J299" s="136"/>
      <c r="M299" s="136"/>
      <c r="N299" s="136"/>
      <c r="O299" s="136"/>
    </row>
    <row r="300" spans="1:17" s="5" customFormat="1">
      <c r="A300" s="6"/>
      <c r="B300" s="10"/>
      <c r="C300" s="192"/>
      <c r="D300" s="2"/>
      <c r="E300" s="133"/>
      <c r="F300" s="2"/>
      <c r="G300" s="105"/>
      <c r="H300" s="15"/>
      <c r="I300" s="25"/>
      <c r="J300" s="21"/>
      <c r="M300" s="29"/>
      <c r="N300" s="29"/>
      <c r="O300" s="29"/>
      <c r="Q300" s="89"/>
    </row>
    <row r="301" spans="1:17" s="5" customFormat="1">
      <c r="A301" s="6"/>
      <c r="B301" s="10"/>
      <c r="C301" s="192"/>
      <c r="D301" s="2"/>
      <c r="E301" s="133"/>
      <c r="F301" s="2"/>
      <c r="G301" s="105"/>
      <c r="H301" s="15"/>
      <c r="I301" s="25"/>
      <c r="J301" s="21"/>
      <c r="M301" s="29"/>
      <c r="N301" s="29"/>
      <c r="O301" s="29"/>
      <c r="Q301" s="89"/>
    </row>
    <row r="302" spans="1:17" s="5" customFormat="1">
      <c r="A302" s="6"/>
      <c r="B302" s="10"/>
      <c r="C302" s="74"/>
      <c r="D302" s="2"/>
      <c r="E302" s="133"/>
      <c r="F302" s="2"/>
      <c r="G302" s="105"/>
      <c r="H302" s="2"/>
      <c r="I302" s="25"/>
      <c r="J302" s="21"/>
      <c r="M302" s="29"/>
      <c r="N302" s="29"/>
      <c r="O302" s="29"/>
      <c r="Q302" s="89"/>
    </row>
    <row r="303" spans="1:17" s="5" customFormat="1">
      <c r="A303" s="6"/>
      <c r="B303" s="10"/>
      <c r="C303" s="74"/>
      <c r="D303" s="2"/>
      <c r="E303" s="133"/>
      <c r="F303" s="2"/>
      <c r="G303" s="105"/>
      <c r="H303" s="2"/>
      <c r="I303" s="25"/>
      <c r="J303" s="21"/>
      <c r="M303" s="29"/>
      <c r="N303" s="29"/>
      <c r="O303" s="29"/>
      <c r="Q303" s="89"/>
    </row>
    <row r="304" spans="1:17" s="5" customFormat="1">
      <c r="A304" s="6"/>
      <c r="B304" s="10"/>
      <c r="C304" s="192"/>
      <c r="D304" s="2"/>
      <c r="E304" s="133"/>
      <c r="F304" s="2"/>
      <c r="G304" s="105"/>
      <c r="H304" s="15"/>
      <c r="I304" s="25"/>
      <c r="J304" s="21"/>
      <c r="K304" s="189"/>
      <c r="M304" s="29"/>
      <c r="N304" s="29"/>
      <c r="O304" s="29"/>
      <c r="Q304" s="89"/>
    </row>
    <row r="305" spans="1:17" s="5" customFormat="1">
      <c r="A305" s="6"/>
      <c r="B305" s="10"/>
      <c r="C305" s="192"/>
      <c r="D305" s="2"/>
      <c r="E305" s="133"/>
      <c r="F305" s="2"/>
      <c r="G305" s="105"/>
      <c r="H305" s="15"/>
      <c r="I305" s="25"/>
      <c r="J305" s="21"/>
      <c r="M305" s="29"/>
      <c r="N305" s="29"/>
      <c r="O305" s="29"/>
      <c r="Q305" s="89"/>
    </row>
    <row r="306" spans="1:17" s="5" customFormat="1">
      <c r="A306" s="6"/>
      <c r="B306" s="10"/>
      <c r="C306" s="74"/>
      <c r="D306" s="2"/>
      <c r="E306" s="135"/>
      <c r="F306" s="2"/>
      <c r="G306" s="105"/>
      <c r="H306" s="2"/>
      <c r="I306" s="25"/>
      <c r="J306" s="21"/>
      <c r="M306" s="29"/>
      <c r="N306" s="29"/>
      <c r="O306" s="29"/>
      <c r="Q306" s="89"/>
    </row>
    <row r="307" spans="1:17" s="5" customFormat="1">
      <c r="A307" s="6"/>
      <c r="B307" s="10"/>
      <c r="C307" s="74"/>
      <c r="D307" s="2"/>
      <c r="E307" s="133"/>
      <c r="F307" s="2"/>
      <c r="G307" s="105"/>
      <c r="H307" s="2"/>
      <c r="I307" s="25"/>
      <c r="J307" s="21"/>
      <c r="M307" s="29"/>
      <c r="N307" s="29"/>
      <c r="O307" s="29"/>
      <c r="Q307" s="89"/>
    </row>
    <row r="308" spans="1:17" s="5" customFormat="1">
      <c r="A308" s="6"/>
      <c r="B308" s="10"/>
      <c r="C308" s="192"/>
      <c r="D308" s="2"/>
      <c r="E308" s="133"/>
      <c r="F308" s="2"/>
      <c r="G308" s="105"/>
      <c r="H308" s="15"/>
      <c r="I308" s="25"/>
      <c r="J308" s="21"/>
      <c r="M308" s="29"/>
      <c r="N308" s="29"/>
      <c r="O308" s="29"/>
      <c r="Q308" s="89"/>
    </row>
    <row r="309" spans="1:17" s="5" customFormat="1">
      <c r="A309" s="6"/>
      <c r="B309" s="10"/>
      <c r="C309" s="192"/>
      <c r="D309" s="2"/>
      <c r="E309" s="133"/>
      <c r="F309" s="2"/>
      <c r="G309" s="105"/>
      <c r="H309" s="15"/>
      <c r="I309" s="25"/>
      <c r="J309" s="21"/>
      <c r="M309" s="29"/>
      <c r="N309" s="29"/>
      <c r="O309" s="29"/>
      <c r="Q309" s="89"/>
    </row>
    <row r="310" spans="1:17" s="5" customFormat="1">
      <c r="A310" s="6"/>
      <c r="B310" s="10"/>
      <c r="C310" s="74"/>
      <c r="D310" s="2"/>
      <c r="E310" s="135"/>
      <c r="F310" s="2"/>
      <c r="G310" s="105"/>
      <c r="H310" s="2"/>
      <c r="I310" s="25"/>
      <c r="J310" s="21"/>
      <c r="M310" s="29"/>
      <c r="N310" s="29"/>
      <c r="O310" s="29"/>
      <c r="Q310" s="89"/>
    </row>
    <row r="311" spans="1:17" s="5" customFormat="1">
      <c r="A311" s="6"/>
      <c r="B311" s="10"/>
      <c r="C311" s="74"/>
      <c r="D311" s="2"/>
      <c r="E311" s="133"/>
      <c r="F311" s="2"/>
      <c r="G311" s="105"/>
      <c r="H311" s="2"/>
      <c r="I311" s="25"/>
      <c r="J311" s="21"/>
      <c r="M311" s="29"/>
      <c r="N311" s="29"/>
      <c r="O311" s="29"/>
      <c r="Q311" s="89"/>
    </row>
    <row r="312" spans="1:17" s="5" customFormat="1">
      <c r="A312" s="6"/>
      <c r="B312" s="10"/>
      <c r="C312" s="192"/>
      <c r="D312" s="2"/>
      <c r="E312" s="133"/>
      <c r="F312" s="2"/>
      <c r="G312" s="105"/>
      <c r="H312" s="15"/>
      <c r="I312" s="25"/>
      <c r="J312" s="21"/>
      <c r="K312" s="189"/>
      <c r="M312" s="29"/>
      <c r="N312" s="29"/>
      <c r="O312" s="29"/>
      <c r="Q312" s="89"/>
    </row>
    <row r="313" spans="1:17" s="5" customFormat="1">
      <c r="A313" s="6"/>
      <c r="B313" s="10"/>
      <c r="C313" s="192"/>
      <c r="D313" s="2"/>
      <c r="E313" s="133"/>
      <c r="F313" s="2"/>
      <c r="G313" s="105"/>
      <c r="H313" s="15"/>
      <c r="I313" s="25"/>
      <c r="J313" s="21"/>
      <c r="M313" s="29"/>
      <c r="N313" s="29"/>
      <c r="O313" s="29"/>
      <c r="Q313" s="89"/>
    </row>
    <row r="314" spans="1:17" s="5" customFormat="1">
      <c r="A314" s="6"/>
      <c r="B314" s="10"/>
      <c r="C314" s="74"/>
      <c r="D314" s="2"/>
      <c r="E314" s="135"/>
      <c r="F314" s="2"/>
      <c r="G314" s="105"/>
      <c r="H314" s="2"/>
      <c r="I314" s="25"/>
      <c r="J314" s="21"/>
      <c r="M314" s="29"/>
      <c r="N314" s="29"/>
      <c r="O314" s="29"/>
      <c r="Q314" s="89"/>
    </row>
    <row r="315" spans="1:17">
      <c r="B315" s="167"/>
      <c r="C315" s="180"/>
      <c r="H315" s="175"/>
    </row>
    <row r="316" spans="1:17" ht="57" customHeight="1">
      <c r="B316" s="167"/>
      <c r="H316" s="175"/>
      <c r="I316" s="136"/>
      <c r="J316" s="136"/>
      <c r="M316" s="136"/>
      <c r="N316" s="136"/>
      <c r="O316" s="136"/>
    </row>
    <row r="317" spans="1:17">
      <c r="B317" s="167"/>
      <c r="H317" s="175"/>
      <c r="I317" s="136"/>
      <c r="J317" s="136"/>
      <c r="M317" s="136"/>
      <c r="N317" s="136"/>
      <c r="O317" s="136"/>
    </row>
    <row r="318" spans="1:17">
      <c r="B318" s="167"/>
      <c r="C318" s="173"/>
      <c r="E318" s="135"/>
      <c r="H318" s="132"/>
      <c r="I318" s="136"/>
      <c r="J318" s="136"/>
      <c r="M318" s="136"/>
      <c r="N318" s="136"/>
      <c r="O318" s="136"/>
    </row>
    <row r="319" spans="1:17">
      <c r="B319" s="167"/>
      <c r="C319" s="173"/>
      <c r="H319" s="132"/>
      <c r="I319" s="136"/>
      <c r="J319" s="136"/>
      <c r="M319" s="136"/>
      <c r="N319" s="136"/>
      <c r="O319" s="136"/>
    </row>
    <row r="320" spans="1:17" s="5" customFormat="1">
      <c r="A320" s="6"/>
      <c r="B320" s="10"/>
      <c r="C320" s="2"/>
      <c r="D320" s="2"/>
      <c r="E320" s="133"/>
      <c r="F320" s="2"/>
      <c r="G320" s="105"/>
      <c r="H320" s="15"/>
      <c r="I320" s="25"/>
      <c r="J320" s="21"/>
      <c r="M320" s="29"/>
      <c r="N320" s="29"/>
      <c r="O320" s="29"/>
      <c r="Q320" s="89"/>
    </row>
    <row r="321" spans="1:17" s="5" customFormat="1">
      <c r="A321" s="6"/>
      <c r="B321" s="10"/>
      <c r="C321" s="2"/>
      <c r="D321" s="2"/>
      <c r="E321" s="133"/>
      <c r="F321" s="2"/>
      <c r="G321" s="105"/>
      <c r="H321" s="15"/>
      <c r="I321" s="25"/>
      <c r="J321" s="21"/>
      <c r="M321" s="29"/>
      <c r="N321" s="29"/>
      <c r="O321" s="29"/>
      <c r="Q321" s="89"/>
    </row>
    <row r="322" spans="1:17" s="5" customFormat="1">
      <c r="A322" s="6"/>
      <c r="B322" s="10"/>
      <c r="C322" s="4"/>
      <c r="D322" s="2"/>
      <c r="E322" s="133"/>
      <c r="F322" s="2"/>
      <c r="G322" s="105"/>
      <c r="H322" s="2"/>
      <c r="I322" s="25"/>
      <c r="J322" s="21"/>
      <c r="M322" s="29"/>
      <c r="N322" s="29"/>
      <c r="O322" s="29"/>
      <c r="Q322" s="89"/>
    </row>
    <row r="323" spans="1:17" s="5" customFormat="1">
      <c r="A323" s="6"/>
      <c r="B323" s="10"/>
      <c r="C323" s="4"/>
      <c r="D323" s="2"/>
      <c r="E323" s="133"/>
      <c r="F323" s="2"/>
      <c r="G323" s="105"/>
      <c r="H323" s="2"/>
      <c r="I323" s="25"/>
      <c r="J323" s="21"/>
      <c r="M323" s="29"/>
      <c r="N323" s="29"/>
      <c r="O323" s="29"/>
      <c r="Q323" s="89"/>
    </row>
    <row r="324" spans="1:17" s="5" customFormat="1" ht="105.95" customHeight="1">
      <c r="A324" s="6"/>
      <c r="B324" s="10"/>
      <c r="C324" s="192"/>
      <c r="D324" s="2"/>
      <c r="E324" s="133"/>
      <c r="F324" s="2"/>
      <c r="G324" s="105"/>
      <c r="H324" s="15"/>
      <c r="I324" s="25"/>
      <c r="J324" s="21"/>
      <c r="M324" s="29"/>
      <c r="N324" s="29"/>
      <c r="O324" s="29"/>
      <c r="Q324" s="89"/>
    </row>
    <row r="325" spans="1:17" s="5" customFormat="1">
      <c r="A325" s="6"/>
      <c r="B325" s="10"/>
      <c r="C325" s="192"/>
      <c r="D325" s="2"/>
      <c r="E325" s="133"/>
      <c r="F325" s="2"/>
      <c r="G325" s="105"/>
      <c r="H325" s="15"/>
      <c r="I325" s="25"/>
      <c r="J325" s="21"/>
      <c r="M325" s="29"/>
      <c r="N325" s="29"/>
      <c r="O325" s="29"/>
      <c r="Q325" s="89"/>
    </row>
    <row r="326" spans="1:17" s="5" customFormat="1">
      <c r="A326" s="6"/>
      <c r="B326" s="10"/>
      <c r="C326" s="74"/>
      <c r="D326" s="2"/>
      <c r="E326" s="133"/>
      <c r="F326" s="2"/>
      <c r="G326" s="105"/>
      <c r="H326" s="2"/>
      <c r="I326" s="25"/>
      <c r="J326" s="21"/>
      <c r="M326" s="29"/>
      <c r="N326" s="29"/>
      <c r="O326" s="29"/>
      <c r="Q326" s="89"/>
    </row>
    <row r="327" spans="1:17" s="5" customFormat="1">
      <c r="A327" s="6"/>
      <c r="B327" s="10"/>
      <c r="C327" s="2"/>
      <c r="D327" s="2"/>
      <c r="E327" s="133"/>
      <c r="F327" s="2"/>
      <c r="G327" s="105"/>
      <c r="H327" s="2"/>
      <c r="I327" s="25"/>
      <c r="J327" s="21"/>
      <c r="M327" s="29"/>
      <c r="N327" s="29"/>
      <c r="O327" s="29"/>
      <c r="Q327" s="89"/>
    </row>
    <row r="328" spans="1:17" s="5" customFormat="1" ht="125.25" customHeight="1">
      <c r="A328" s="6"/>
      <c r="B328" s="10"/>
      <c r="C328" s="192"/>
      <c r="D328" s="2"/>
      <c r="E328" s="133"/>
      <c r="F328" s="2"/>
      <c r="G328" s="105"/>
      <c r="H328" s="15"/>
      <c r="I328" s="25"/>
      <c r="J328" s="21"/>
      <c r="M328" s="29"/>
      <c r="N328" s="29"/>
      <c r="O328" s="29"/>
      <c r="Q328" s="89"/>
    </row>
    <row r="329" spans="1:17" s="5" customFormat="1">
      <c r="A329" s="6"/>
      <c r="B329" s="10"/>
      <c r="C329" s="192"/>
      <c r="D329" s="2"/>
      <c r="E329" s="133"/>
      <c r="F329" s="2"/>
      <c r="G329" s="105"/>
      <c r="H329" s="15"/>
      <c r="I329" s="25"/>
      <c r="J329" s="21"/>
      <c r="M329" s="29"/>
      <c r="N329" s="29"/>
      <c r="O329" s="29"/>
      <c r="Q329" s="89"/>
    </row>
    <row r="330" spans="1:17" s="5" customFormat="1">
      <c r="A330" s="6"/>
      <c r="B330" s="10"/>
      <c r="C330" s="74"/>
      <c r="D330" s="2"/>
      <c r="E330" s="133"/>
      <c r="F330" s="2"/>
      <c r="G330" s="105"/>
      <c r="H330" s="2"/>
      <c r="I330" s="25"/>
      <c r="J330" s="21"/>
      <c r="M330" s="29"/>
      <c r="N330" s="29"/>
      <c r="O330" s="29"/>
      <c r="Q330" s="89"/>
    </row>
    <row r="331" spans="1:17" s="5" customFormat="1">
      <c r="A331" s="6"/>
      <c r="B331" s="10"/>
      <c r="C331" s="74"/>
      <c r="D331" s="2"/>
      <c r="E331" s="133"/>
      <c r="F331" s="2"/>
      <c r="G331" s="105"/>
      <c r="H331" s="2"/>
      <c r="I331" s="25"/>
      <c r="J331" s="21"/>
      <c r="M331" s="29"/>
      <c r="N331" s="29"/>
      <c r="O331" s="29"/>
      <c r="Q331" s="89"/>
    </row>
    <row r="332" spans="1:17" s="5" customFormat="1" ht="125.25" customHeight="1">
      <c r="A332" s="6"/>
      <c r="B332" s="10"/>
      <c r="C332" s="192"/>
      <c r="D332" s="2"/>
      <c r="E332" s="133"/>
      <c r="F332" s="2"/>
      <c r="G332" s="105"/>
      <c r="H332" s="15"/>
      <c r="I332" s="25"/>
      <c r="J332" s="21"/>
      <c r="M332" s="29"/>
      <c r="N332" s="29"/>
      <c r="O332" s="29"/>
      <c r="Q332" s="89"/>
    </row>
    <row r="333" spans="1:17" s="5" customFormat="1">
      <c r="A333" s="6"/>
      <c r="B333" s="10"/>
      <c r="C333" s="192"/>
      <c r="D333" s="2"/>
      <c r="E333" s="133"/>
      <c r="F333" s="2"/>
      <c r="G333" s="105"/>
      <c r="H333" s="15"/>
      <c r="I333" s="25"/>
      <c r="J333" s="21"/>
      <c r="M333" s="29"/>
      <c r="N333" s="29"/>
      <c r="O333" s="29"/>
      <c r="Q333" s="89"/>
    </row>
    <row r="334" spans="1:17" s="5" customFormat="1">
      <c r="A334" s="6"/>
      <c r="B334" s="10"/>
      <c r="C334" s="74"/>
      <c r="D334" s="2"/>
      <c r="E334" s="133"/>
      <c r="F334" s="2"/>
      <c r="G334" s="105"/>
      <c r="H334" s="2"/>
      <c r="I334" s="25"/>
      <c r="J334" s="21"/>
      <c r="M334" s="29"/>
      <c r="N334" s="29"/>
      <c r="O334" s="29"/>
      <c r="Q334" s="89"/>
    </row>
    <row r="335" spans="1:17" s="5" customFormat="1">
      <c r="A335" s="6"/>
      <c r="B335" s="10"/>
      <c r="C335" s="74"/>
      <c r="D335" s="2"/>
      <c r="E335" s="133"/>
      <c r="F335" s="2"/>
      <c r="G335" s="105"/>
      <c r="H335" s="2"/>
      <c r="I335" s="25"/>
      <c r="J335" s="21"/>
      <c r="M335" s="29"/>
      <c r="N335" s="29"/>
      <c r="O335" s="29"/>
      <c r="Q335" s="89"/>
    </row>
    <row r="336" spans="1:17" s="5" customFormat="1" ht="123.95" customHeight="1">
      <c r="A336" s="6"/>
      <c r="B336" s="10"/>
      <c r="C336" s="192"/>
      <c r="D336" s="2"/>
      <c r="E336" s="133"/>
      <c r="F336" s="2"/>
      <c r="G336" s="105"/>
      <c r="H336" s="15"/>
      <c r="I336" s="25"/>
      <c r="J336" s="21"/>
      <c r="M336" s="29"/>
      <c r="N336" s="29"/>
      <c r="O336" s="29"/>
      <c r="Q336" s="89"/>
    </row>
    <row r="337" spans="1:17" s="5" customFormat="1">
      <c r="A337" s="6"/>
      <c r="B337" s="10"/>
      <c r="C337" s="192"/>
      <c r="D337" s="2"/>
      <c r="E337" s="133"/>
      <c r="F337" s="2"/>
      <c r="G337" s="105"/>
      <c r="H337" s="15"/>
      <c r="I337" s="25"/>
      <c r="J337" s="21"/>
      <c r="M337" s="29"/>
      <c r="N337" s="29"/>
      <c r="O337" s="29"/>
      <c r="Q337" s="89"/>
    </row>
    <row r="338" spans="1:17" s="5" customFormat="1">
      <c r="A338" s="6"/>
      <c r="B338" s="10"/>
      <c r="C338" s="74"/>
      <c r="D338" s="2"/>
      <c r="E338" s="133"/>
      <c r="F338" s="2"/>
      <c r="G338" s="105"/>
      <c r="H338" s="2"/>
      <c r="I338" s="25"/>
      <c r="J338" s="21"/>
      <c r="M338" s="29"/>
      <c r="N338" s="29"/>
      <c r="O338" s="29"/>
      <c r="Q338" s="89"/>
    </row>
    <row r="339" spans="1:17" s="5" customFormat="1">
      <c r="A339" s="6"/>
      <c r="B339" s="10"/>
      <c r="C339" s="74"/>
      <c r="D339" s="2"/>
      <c r="E339" s="133"/>
      <c r="F339" s="2"/>
      <c r="G339" s="105"/>
      <c r="H339" s="2"/>
      <c r="I339" s="25"/>
      <c r="J339" s="21"/>
      <c r="M339" s="29"/>
      <c r="N339" s="29"/>
      <c r="O339" s="29"/>
      <c r="Q339" s="89"/>
    </row>
    <row r="340" spans="1:17" s="5" customFormat="1" ht="125.25" customHeight="1">
      <c r="A340" s="6"/>
      <c r="B340" s="10"/>
      <c r="C340" s="192"/>
      <c r="D340" s="2"/>
      <c r="E340" s="133"/>
      <c r="F340" s="2"/>
      <c r="G340" s="105"/>
      <c r="H340" s="15"/>
      <c r="I340" s="25"/>
      <c r="J340" s="21"/>
      <c r="M340" s="29"/>
      <c r="N340" s="29"/>
      <c r="O340" s="29"/>
      <c r="Q340" s="89"/>
    </row>
    <row r="341" spans="1:17" s="5" customFormat="1">
      <c r="A341" s="6"/>
      <c r="B341" s="10"/>
      <c r="C341" s="192"/>
      <c r="D341" s="2"/>
      <c r="E341" s="133"/>
      <c r="F341" s="2"/>
      <c r="G341" s="105"/>
      <c r="H341" s="15"/>
      <c r="I341" s="25"/>
      <c r="J341" s="21"/>
      <c r="M341" s="29"/>
      <c r="N341" s="29"/>
      <c r="O341" s="29"/>
      <c r="Q341" s="89"/>
    </row>
    <row r="342" spans="1:17" s="5" customFormat="1">
      <c r="A342" s="6"/>
      <c r="B342" s="10"/>
      <c r="C342" s="74"/>
      <c r="D342" s="2"/>
      <c r="E342" s="133"/>
      <c r="F342" s="2"/>
      <c r="G342" s="105"/>
      <c r="H342" s="2"/>
      <c r="I342" s="25"/>
      <c r="J342" s="21"/>
      <c r="M342" s="29"/>
      <c r="N342" s="29"/>
      <c r="O342" s="29"/>
      <c r="Q342" s="89"/>
    </row>
    <row r="343" spans="1:17" s="5" customFormat="1">
      <c r="A343" s="6"/>
      <c r="B343" s="10"/>
      <c r="C343" s="74"/>
      <c r="D343" s="2"/>
      <c r="E343" s="133"/>
      <c r="F343" s="2"/>
      <c r="G343" s="105"/>
      <c r="H343" s="2"/>
      <c r="I343" s="25"/>
      <c r="J343" s="21"/>
      <c r="M343" s="29"/>
      <c r="N343" s="29"/>
      <c r="O343" s="29"/>
      <c r="Q343" s="89"/>
    </row>
    <row r="344" spans="1:17" s="5" customFormat="1" ht="123" customHeight="1">
      <c r="A344" s="6"/>
      <c r="B344" s="10"/>
      <c r="C344" s="192"/>
      <c r="D344" s="2"/>
      <c r="E344" s="133"/>
      <c r="F344" s="2"/>
      <c r="G344" s="105"/>
      <c r="H344" s="15"/>
      <c r="I344" s="25"/>
      <c r="J344" s="21"/>
      <c r="M344" s="29"/>
      <c r="N344" s="29"/>
      <c r="O344" s="29"/>
      <c r="Q344" s="89"/>
    </row>
    <row r="345" spans="1:17" s="5" customFormat="1">
      <c r="A345" s="6"/>
      <c r="B345" s="10"/>
      <c r="C345" s="192"/>
      <c r="D345" s="2"/>
      <c r="E345" s="133"/>
      <c r="F345" s="2"/>
      <c r="G345" s="105"/>
      <c r="H345" s="15"/>
      <c r="I345" s="25"/>
      <c r="J345" s="21"/>
      <c r="M345" s="29"/>
      <c r="N345" s="29"/>
      <c r="O345" s="29"/>
      <c r="Q345" s="89"/>
    </row>
    <row r="346" spans="1:17" s="5" customFormat="1">
      <c r="A346" s="6"/>
      <c r="B346" s="10"/>
      <c r="C346" s="74"/>
      <c r="D346" s="2"/>
      <c r="E346" s="133"/>
      <c r="F346" s="2"/>
      <c r="G346" s="105"/>
      <c r="H346" s="2"/>
      <c r="I346" s="25"/>
      <c r="J346" s="21"/>
      <c r="M346" s="29"/>
      <c r="N346" s="29"/>
      <c r="O346" s="29"/>
      <c r="Q346" s="89"/>
    </row>
    <row r="347" spans="1:17" s="5" customFormat="1">
      <c r="A347" s="6"/>
      <c r="B347" s="10"/>
      <c r="C347" s="74"/>
      <c r="D347" s="2"/>
      <c r="E347" s="133"/>
      <c r="F347" s="2"/>
      <c r="G347" s="105"/>
      <c r="H347" s="2"/>
      <c r="I347" s="25"/>
      <c r="J347" s="21"/>
      <c r="M347" s="29"/>
      <c r="N347" s="29"/>
      <c r="O347" s="29"/>
      <c r="Q347" s="89"/>
    </row>
    <row r="348" spans="1:17" s="5" customFormat="1" ht="119.25" customHeight="1">
      <c r="A348" s="6"/>
      <c r="B348" s="10"/>
      <c r="C348" s="192"/>
      <c r="D348" s="2"/>
      <c r="E348" s="133"/>
      <c r="F348" s="2"/>
      <c r="G348" s="105"/>
      <c r="H348" s="15"/>
      <c r="I348" s="25"/>
      <c r="J348" s="21"/>
      <c r="M348" s="29"/>
      <c r="N348" s="29"/>
      <c r="O348" s="29"/>
      <c r="Q348" s="89"/>
    </row>
    <row r="349" spans="1:17" s="5" customFormat="1">
      <c r="A349" s="6"/>
      <c r="B349" s="10"/>
      <c r="C349" s="192"/>
      <c r="D349" s="2"/>
      <c r="E349" s="133"/>
      <c r="F349" s="2"/>
      <c r="G349" s="105"/>
      <c r="H349" s="15"/>
      <c r="I349" s="25"/>
      <c r="J349" s="21"/>
      <c r="M349" s="29"/>
      <c r="N349" s="29"/>
      <c r="O349" s="29"/>
      <c r="Q349" s="89"/>
    </row>
    <row r="350" spans="1:17" s="5" customFormat="1">
      <c r="A350" s="6"/>
      <c r="B350" s="10"/>
      <c r="C350" s="74"/>
      <c r="D350" s="2"/>
      <c r="E350" s="133"/>
      <c r="F350" s="2"/>
      <c r="G350" s="105"/>
      <c r="H350" s="2"/>
      <c r="I350" s="25"/>
      <c r="J350" s="21"/>
      <c r="M350" s="29"/>
      <c r="N350" s="29"/>
      <c r="O350" s="29"/>
      <c r="Q350" s="89"/>
    </row>
    <row r="351" spans="1:17" s="5" customFormat="1">
      <c r="A351" s="6"/>
      <c r="B351" s="10"/>
      <c r="C351" s="192"/>
      <c r="D351" s="2"/>
      <c r="E351" s="133"/>
      <c r="F351" s="2"/>
      <c r="G351" s="105"/>
      <c r="H351" s="2"/>
      <c r="I351" s="25"/>
      <c r="J351" s="21"/>
      <c r="M351" s="29"/>
      <c r="N351" s="29"/>
      <c r="O351" s="29"/>
      <c r="Q351" s="89"/>
    </row>
    <row r="352" spans="1:17" s="5" customFormat="1" ht="100.5" customHeight="1">
      <c r="A352" s="6"/>
      <c r="B352" s="10"/>
      <c r="C352" s="192"/>
      <c r="D352" s="2"/>
      <c r="E352" s="133"/>
      <c r="F352" s="2"/>
      <c r="G352" s="105"/>
      <c r="H352" s="15"/>
      <c r="I352" s="25"/>
      <c r="J352" s="21"/>
      <c r="M352" s="29"/>
      <c r="N352" s="29"/>
      <c r="O352" s="29"/>
      <c r="Q352" s="89"/>
    </row>
    <row r="353" spans="1:17" s="5" customFormat="1">
      <c r="A353" s="6"/>
      <c r="B353" s="10"/>
      <c r="C353" s="192"/>
      <c r="D353" s="2"/>
      <c r="E353" s="133"/>
      <c r="F353" s="2"/>
      <c r="G353" s="105"/>
      <c r="H353" s="15"/>
      <c r="I353" s="25"/>
      <c r="J353" s="21"/>
      <c r="M353" s="29"/>
      <c r="N353" s="29"/>
      <c r="O353" s="29"/>
      <c r="Q353" s="89"/>
    </row>
    <row r="354" spans="1:17" s="5" customFormat="1">
      <c r="A354" s="6"/>
      <c r="B354" s="10"/>
      <c r="C354" s="74"/>
      <c r="D354" s="2"/>
      <c r="E354" s="133"/>
      <c r="F354" s="2"/>
      <c r="G354" s="105"/>
      <c r="H354" s="2"/>
      <c r="I354" s="25"/>
      <c r="J354" s="21"/>
      <c r="M354" s="29"/>
      <c r="N354" s="29"/>
      <c r="O354" s="29"/>
      <c r="Q354" s="89"/>
    </row>
    <row r="355" spans="1:17" s="5" customFormat="1">
      <c r="A355" s="6"/>
      <c r="B355" s="10"/>
      <c r="C355" s="2"/>
      <c r="D355" s="2"/>
      <c r="E355" s="133"/>
      <c r="F355" s="2"/>
      <c r="G355" s="105"/>
      <c r="H355" s="2"/>
      <c r="I355" s="25"/>
      <c r="J355" s="21"/>
      <c r="M355" s="29"/>
      <c r="N355" s="29"/>
      <c r="O355" s="29"/>
      <c r="Q355" s="89"/>
    </row>
    <row r="356" spans="1:17" s="5" customFormat="1" ht="99.75" customHeight="1">
      <c r="A356" s="6"/>
      <c r="B356" s="10"/>
      <c r="C356" s="192"/>
      <c r="D356" s="2"/>
      <c r="E356" s="133"/>
      <c r="F356" s="2"/>
      <c r="G356" s="105"/>
      <c r="H356" s="15"/>
      <c r="I356" s="25"/>
      <c r="J356" s="21"/>
      <c r="M356" s="29"/>
      <c r="N356" s="29"/>
      <c r="O356" s="29"/>
      <c r="Q356" s="89"/>
    </row>
    <row r="357" spans="1:17" s="5" customFormat="1">
      <c r="A357" s="6"/>
      <c r="B357" s="10"/>
      <c r="C357" s="192"/>
      <c r="D357" s="2"/>
      <c r="E357" s="133"/>
      <c r="F357" s="2"/>
      <c r="G357" s="105"/>
      <c r="H357" s="15"/>
      <c r="I357" s="25"/>
      <c r="J357" s="21"/>
      <c r="M357" s="29"/>
      <c r="N357" s="29"/>
      <c r="O357" s="29"/>
      <c r="Q357" s="89"/>
    </row>
    <row r="358" spans="1:17" s="5" customFormat="1">
      <c r="A358" s="6"/>
      <c r="B358" s="10"/>
      <c r="C358" s="74"/>
      <c r="D358" s="2"/>
      <c r="E358" s="133"/>
      <c r="F358" s="2"/>
      <c r="G358" s="105"/>
      <c r="H358" s="2"/>
      <c r="I358" s="25"/>
      <c r="J358" s="21"/>
      <c r="M358" s="29"/>
      <c r="N358" s="29"/>
      <c r="O358" s="29"/>
      <c r="Q358" s="89"/>
    </row>
    <row r="359" spans="1:17" s="5" customFormat="1">
      <c r="A359" s="6"/>
      <c r="B359" s="10"/>
      <c r="C359" s="192"/>
      <c r="D359" s="2"/>
      <c r="E359" s="133"/>
      <c r="F359" s="2"/>
      <c r="G359" s="105"/>
      <c r="H359" s="2"/>
      <c r="I359" s="25"/>
      <c r="J359" s="21"/>
      <c r="M359" s="29"/>
      <c r="N359" s="29"/>
      <c r="O359" s="29"/>
      <c r="Q359" s="89"/>
    </row>
    <row r="360" spans="1:17" s="5" customFormat="1" ht="99.2" customHeight="1">
      <c r="A360" s="6"/>
      <c r="B360" s="10"/>
      <c r="C360" s="192"/>
      <c r="D360" s="2"/>
      <c r="E360" s="133"/>
      <c r="F360" s="2"/>
      <c r="G360" s="105"/>
      <c r="H360" s="15"/>
      <c r="I360" s="25"/>
      <c r="J360" s="21"/>
      <c r="M360" s="29"/>
      <c r="N360" s="29"/>
      <c r="O360" s="29"/>
      <c r="Q360" s="89"/>
    </row>
    <row r="361" spans="1:17" s="5" customFormat="1">
      <c r="A361" s="6"/>
      <c r="B361" s="10"/>
      <c r="C361" s="192"/>
      <c r="D361" s="2"/>
      <c r="E361" s="133"/>
      <c r="F361" s="2"/>
      <c r="G361" s="105"/>
      <c r="H361" s="15"/>
      <c r="I361" s="25"/>
      <c r="J361" s="21"/>
      <c r="M361" s="29"/>
      <c r="N361" s="29"/>
      <c r="O361" s="29"/>
      <c r="Q361" s="89"/>
    </row>
    <row r="362" spans="1:17" s="5" customFormat="1">
      <c r="A362" s="6"/>
      <c r="B362" s="10"/>
      <c r="C362" s="74"/>
      <c r="D362" s="2"/>
      <c r="E362" s="133"/>
      <c r="F362" s="2"/>
      <c r="G362" s="105"/>
      <c r="H362" s="2"/>
      <c r="I362" s="25"/>
      <c r="J362" s="21"/>
      <c r="M362" s="29"/>
      <c r="N362" s="29"/>
      <c r="O362" s="29"/>
      <c r="Q362" s="89"/>
    </row>
    <row r="363" spans="1:17" s="5" customFormat="1">
      <c r="A363" s="6"/>
      <c r="B363" s="10"/>
      <c r="C363" s="2"/>
      <c r="D363" s="2"/>
      <c r="E363" s="133"/>
      <c r="F363" s="2"/>
      <c r="G363" s="105"/>
      <c r="H363" s="2"/>
      <c r="I363" s="25"/>
      <c r="J363" s="21"/>
      <c r="M363" s="29"/>
      <c r="N363" s="29"/>
      <c r="O363" s="29"/>
      <c r="Q363" s="89"/>
    </row>
    <row r="364" spans="1:17" s="5" customFormat="1" ht="97.5" customHeight="1">
      <c r="A364" s="6"/>
      <c r="B364" s="10"/>
      <c r="C364" s="192"/>
      <c r="D364" s="2"/>
      <c r="E364" s="133"/>
      <c r="F364" s="2"/>
      <c r="G364" s="105"/>
      <c r="H364" s="15"/>
      <c r="I364" s="25"/>
      <c r="J364" s="21"/>
      <c r="M364" s="29"/>
      <c r="N364" s="29"/>
      <c r="O364" s="29"/>
      <c r="Q364" s="89"/>
    </row>
    <row r="365" spans="1:17" s="5" customFormat="1">
      <c r="A365" s="6"/>
      <c r="B365" s="10"/>
      <c r="C365" s="192"/>
      <c r="D365" s="2"/>
      <c r="E365" s="133"/>
      <c r="F365" s="2"/>
      <c r="G365" s="105"/>
      <c r="H365" s="15"/>
      <c r="I365" s="25"/>
      <c r="J365" s="21"/>
      <c r="M365" s="29"/>
      <c r="N365" s="29"/>
      <c r="O365" s="29"/>
      <c r="Q365" s="89"/>
    </row>
    <row r="366" spans="1:17" s="5" customFormat="1">
      <c r="A366" s="6"/>
      <c r="B366" s="10"/>
      <c r="C366" s="74"/>
      <c r="D366" s="2"/>
      <c r="E366" s="133"/>
      <c r="F366" s="2"/>
      <c r="G366" s="105"/>
      <c r="H366" s="2"/>
      <c r="I366" s="25"/>
      <c r="J366" s="21"/>
      <c r="M366" s="29"/>
      <c r="N366" s="29"/>
      <c r="O366" s="29"/>
      <c r="Q366" s="89"/>
    </row>
    <row r="367" spans="1:17" s="5" customFormat="1">
      <c r="A367" s="6"/>
      <c r="B367" s="10"/>
      <c r="C367" s="192"/>
      <c r="D367" s="2"/>
      <c r="E367" s="133"/>
      <c r="F367" s="2"/>
      <c r="G367" s="105"/>
      <c r="H367" s="2"/>
      <c r="I367" s="25"/>
      <c r="J367" s="21"/>
      <c r="M367" s="29"/>
      <c r="N367" s="29"/>
      <c r="O367" s="29"/>
      <c r="Q367" s="89"/>
    </row>
    <row r="368" spans="1:17" s="5" customFormat="1" ht="97.5" customHeight="1">
      <c r="A368" s="6"/>
      <c r="B368" s="10"/>
      <c r="C368" s="192"/>
      <c r="D368" s="2"/>
      <c r="E368" s="133"/>
      <c r="F368" s="2"/>
      <c r="G368" s="105"/>
      <c r="H368" s="15"/>
      <c r="I368" s="25"/>
      <c r="J368" s="21"/>
      <c r="M368" s="29"/>
      <c r="N368" s="29"/>
      <c r="O368" s="29"/>
      <c r="Q368" s="89"/>
    </row>
    <row r="369" spans="1:17" s="5" customFormat="1">
      <c r="A369" s="6"/>
      <c r="B369" s="10"/>
      <c r="C369" s="192"/>
      <c r="D369" s="2"/>
      <c r="E369" s="133"/>
      <c r="F369" s="2"/>
      <c r="G369" s="105"/>
      <c r="H369" s="15"/>
      <c r="I369" s="25"/>
      <c r="J369" s="21"/>
      <c r="M369" s="29"/>
      <c r="N369" s="29"/>
      <c r="O369" s="29"/>
      <c r="Q369" s="89"/>
    </row>
    <row r="370" spans="1:17" s="5" customFormat="1">
      <c r="A370" s="6"/>
      <c r="B370" s="10"/>
      <c r="C370" s="74"/>
      <c r="D370" s="2"/>
      <c r="E370" s="133"/>
      <c r="F370" s="2"/>
      <c r="G370" s="105"/>
      <c r="H370" s="2"/>
      <c r="I370" s="25"/>
      <c r="J370" s="21"/>
      <c r="M370" s="29"/>
      <c r="N370" s="29"/>
      <c r="O370" s="29"/>
      <c r="Q370" s="89"/>
    </row>
    <row r="371" spans="1:17" s="5" customFormat="1">
      <c r="A371" s="6"/>
      <c r="B371" s="10"/>
      <c r="C371" s="2"/>
      <c r="D371" s="2"/>
      <c r="E371" s="133"/>
      <c r="F371" s="2"/>
      <c r="G371" s="105"/>
      <c r="H371" s="2"/>
      <c r="I371" s="25"/>
      <c r="J371" s="21"/>
      <c r="M371" s="29"/>
      <c r="N371" s="29"/>
      <c r="O371" s="29"/>
      <c r="Q371" s="89"/>
    </row>
    <row r="372" spans="1:17" s="5" customFormat="1" ht="98.25" customHeight="1">
      <c r="A372" s="6"/>
      <c r="B372" s="10"/>
      <c r="C372" s="192"/>
      <c r="D372" s="2"/>
      <c r="E372" s="133"/>
      <c r="F372" s="2"/>
      <c r="G372" s="105"/>
      <c r="H372" s="15"/>
      <c r="I372" s="25"/>
      <c r="J372" s="21"/>
      <c r="M372" s="29"/>
      <c r="N372" s="29"/>
      <c r="O372" s="29"/>
      <c r="Q372" s="89"/>
    </row>
    <row r="373" spans="1:17" s="5" customFormat="1">
      <c r="A373" s="6"/>
      <c r="B373" s="10"/>
      <c r="C373" s="192"/>
      <c r="D373" s="2"/>
      <c r="E373" s="133"/>
      <c r="F373" s="2"/>
      <c r="G373" s="105"/>
      <c r="H373" s="15"/>
      <c r="I373" s="25"/>
      <c r="J373" s="21"/>
      <c r="M373" s="29"/>
      <c r="N373" s="29"/>
      <c r="O373" s="29"/>
      <c r="Q373" s="89"/>
    </row>
    <row r="374" spans="1:17" s="5" customFormat="1">
      <c r="A374" s="6"/>
      <c r="B374" s="10"/>
      <c r="C374" s="74"/>
      <c r="D374" s="2"/>
      <c r="E374" s="133"/>
      <c r="F374" s="2"/>
      <c r="G374" s="105"/>
      <c r="H374" s="2"/>
      <c r="I374" s="25"/>
      <c r="J374" s="21"/>
      <c r="M374" s="29"/>
      <c r="N374" s="29"/>
      <c r="O374" s="29"/>
      <c r="Q374" s="89"/>
    </row>
    <row r="375" spans="1:17" s="5" customFormat="1">
      <c r="A375" s="6"/>
      <c r="B375" s="10"/>
      <c r="C375" s="192"/>
      <c r="D375" s="2"/>
      <c r="E375" s="133"/>
      <c r="F375" s="2"/>
      <c r="G375" s="105"/>
      <c r="H375" s="2"/>
      <c r="I375" s="25"/>
      <c r="J375" s="21"/>
      <c r="M375" s="29"/>
      <c r="N375" s="29"/>
      <c r="O375" s="29"/>
      <c r="Q375" s="89"/>
    </row>
    <row r="376" spans="1:17" s="5" customFormat="1" ht="97.5" customHeight="1">
      <c r="A376" s="6"/>
      <c r="B376" s="10"/>
      <c r="C376" s="192"/>
      <c r="D376" s="2"/>
      <c r="E376" s="133"/>
      <c r="F376" s="2"/>
      <c r="G376" s="105"/>
      <c r="H376" s="15"/>
      <c r="I376" s="25"/>
      <c r="J376" s="21"/>
      <c r="M376" s="29"/>
      <c r="N376" s="29"/>
      <c r="O376" s="29"/>
      <c r="Q376" s="89"/>
    </row>
    <row r="377" spans="1:17" s="5" customFormat="1">
      <c r="A377" s="6"/>
      <c r="B377" s="10"/>
      <c r="C377" s="192"/>
      <c r="D377" s="2"/>
      <c r="E377" s="133"/>
      <c r="F377" s="2"/>
      <c r="G377" s="105"/>
      <c r="H377" s="15"/>
      <c r="I377" s="25"/>
      <c r="J377" s="21"/>
      <c r="M377" s="29"/>
      <c r="N377" s="29"/>
      <c r="O377" s="29"/>
      <c r="Q377" s="89"/>
    </row>
    <row r="378" spans="1:17" s="5" customFormat="1">
      <c r="A378" s="6"/>
      <c r="B378" s="10"/>
      <c r="C378" s="74"/>
      <c r="D378" s="2"/>
      <c r="E378" s="133"/>
      <c r="F378" s="2"/>
      <c r="G378" s="105"/>
      <c r="H378" s="2"/>
      <c r="I378" s="25"/>
      <c r="J378" s="21"/>
      <c r="M378" s="29"/>
      <c r="N378" s="29"/>
      <c r="O378" s="29"/>
      <c r="Q378" s="89"/>
    </row>
    <row r="379" spans="1:17" s="5" customFormat="1">
      <c r="A379" s="6"/>
      <c r="B379" s="10"/>
      <c r="C379" s="192"/>
      <c r="D379" s="2"/>
      <c r="E379" s="133"/>
      <c r="F379" s="2"/>
      <c r="G379" s="105"/>
      <c r="H379" s="2"/>
      <c r="I379" s="25"/>
      <c r="J379" s="21"/>
      <c r="M379" s="29"/>
      <c r="N379" s="29"/>
      <c r="O379" s="29"/>
      <c r="Q379" s="89"/>
    </row>
    <row r="380" spans="1:17" s="5" customFormat="1" ht="99.2" customHeight="1">
      <c r="A380" s="6"/>
      <c r="B380" s="10"/>
      <c r="C380" s="192"/>
      <c r="D380" s="2"/>
      <c r="E380" s="133"/>
      <c r="F380" s="2"/>
      <c r="G380" s="105"/>
      <c r="H380" s="15"/>
      <c r="I380" s="25"/>
      <c r="J380" s="21"/>
      <c r="K380" s="10"/>
      <c r="M380" s="29"/>
      <c r="N380" s="29"/>
      <c r="O380" s="29"/>
      <c r="Q380" s="89"/>
    </row>
    <row r="381" spans="1:17" s="5" customFormat="1">
      <c r="A381" s="6"/>
      <c r="B381" s="10"/>
      <c r="C381" s="192"/>
      <c r="D381" s="2"/>
      <c r="E381" s="133"/>
      <c r="F381" s="2"/>
      <c r="G381" s="105"/>
      <c r="H381" s="15"/>
      <c r="I381" s="25"/>
      <c r="J381" s="21"/>
      <c r="M381" s="29"/>
      <c r="N381" s="29"/>
      <c r="O381" s="29"/>
      <c r="Q381" s="89"/>
    </row>
    <row r="382" spans="1:17" s="5" customFormat="1">
      <c r="A382" s="6"/>
      <c r="B382" s="10"/>
      <c r="C382" s="74"/>
      <c r="D382" s="2"/>
      <c r="E382" s="133"/>
      <c r="F382" s="2"/>
      <c r="G382" s="105"/>
      <c r="H382" s="2"/>
      <c r="I382" s="25"/>
      <c r="J382" s="21"/>
      <c r="M382" s="29"/>
      <c r="N382" s="29"/>
      <c r="O382" s="29"/>
      <c r="Q382" s="89"/>
    </row>
    <row r="383" spans="1:17" s="5" customFormat="1">
      <c r="A383" s="6"/>
      <c r="B383" s="10"/>
      <c r="C383" s="4"/>
      <c r="D383" s="2"/>
      <c r="E383" s="133"/>
      <c r="F383" s="2"/>
      <c r="G383" s="105"/>
      <c r="H383" s="2"/>
      <c r="I383" s="25"/>
      <c r="J383" s="21"/>
      <c r="M383" s="29"/>
      <c r="N383" s="29"/>
      <c r="O383" s="29"/>
      <c r="Q383" s="89"/>
    </row>
    <row r="384" spans="1:17" s="5" customFormat="1" ht="96" customHeight="1">
      <c r="A384" s="6"/>
      <c r="B384" s="10"/>
      <c r="C384" s="192"/>
      <c r="D384" s="2"/>
      <c r="E384" s="133"/>
      <c r="F384" s="2"/>
      <c r="G384" s="105"/>
      <c r="H384" s="15"/>
      <c r="I384" s="25"/>
      <c r="J384" s="21"/>
      <c r="M384" s="29"/>
      <c r="N384" s="29"/>
      <c r="O384" s="29"/>
      <c r="Q384" s="89"/>
    </row>
    <row r="385" spans="1:17" s="5" customFormat="1">
      <c r="A385" s="6"/>
      <c r="B385" s="10"/>
      <c r="C385" s="192"/>
      <c r="D385" s="2"/>
      <c r="E385" s="133"/>
      <c r="F385" s="2"/>
      <c r="G385" s="105"/>
      <c r="H385" s="15"/>
      <c r="I385" s="25"/>
      <c r="J385" s="21"/>
      <c r="M385" s="29"/>
      <c r="N385" s="29"/>
      <c r="O385" s="29"/>
      <c r="Q385" s="89"/>
    </row>
    <row r="386" spans="1:17" s="5" customFormat="1">
      <c r="A386" s="6"/>
      <c r="B386" s="10"/>
      <c r="C386" s="74"/>
      <c r="D386" s="2"/>
      <c r="E386" s="133"/>
      <c r="F386" s="2"/>
      <c r="G386" s="105"/>
      <c r="H386" s="2"/>
      <c r="I386" s="25"/>
      <c r="J386" s="21"/>
      <c r="M386" s="29"/>
      <c r="N386" s="29"/>
      <c r="O386" s="29"/>
      <c r="Q386" s="89"/>
    </row>
    <row r="387" spans="1:17" s="5" customFormat="1">
      <c r="A387" s="6"/>
      <c r="B387" s="10"/>
      <c r="C387" s="192"/>
      <c r="D387" s="2"/>
      <c r="E387" s="133"/>
      <c r="F387" s="2"/>
      <c r="G387" s="105"/>
      <c r="H387" s="2"/>
      <c r="I387" s="25"/>
      <c r="J387" s="21"/>
      <c r="M387" s="29"/>
      <c r="N387" s="29"/>
      <c r="O387" s="29"/>
      <c r="Q387" s="89"/>
    </row>
    <row r="388" spans="1:17" s="5" customFormat="1" ht="96.75" customHeight="1">
      <c r="A388" s="6"/>
      <c r="B388" s="10"/>
      <c r="C388" s="192"/>
      <c r="D388" s="2"/>
      <c r="E388" s="133"/>
      <c r="F388" s="2"/>
      <c r="G388" s="105"/>
      <c r="H388" s="15"/>
      <c r="I388" s="25"/>
      <c r="J388" s="21"/>
      <c r="M388" s="29"/>
      <c r="N388" s="29"/>
      <c r="O388" s="29"/>
      <c r="Q388" s="89"/>
    </row>
    <row r="389" spans="1:17" s="5" customFormat="1">
      <c r="A389" s="6"/>
      <c r="B389" s="10"/>
      <c r="C389" s="192"/>
      <c r="D389" s="2"/>
      <c r="E389" s="133"/>
      <c r="F389" s="2"/>
      <c r="G389" s="105"/>
      <c r="H389" s="15"/>
      <c r="I389" s="25"/>
      <c r="J389" s="21"/>
      <c r="M389" s="29"/>
      <c r="N389" s="29"/>
      <c r="O389" s="29"/>
      <c r="Q389" s="89"/>
    </row>
    <row r="390" spans="1:17" s="5" customFormat="1">
      <c r="A390" s="6"/>
      <c r="B390" s="10"/>
      <c r="C390" s="74"/>
      <c r="D390" s="2"/>
      <c r="E390" s="133"/>
      <c r="F390" s="2"/>
      <c r="G390" s="105"/>
      <c r="H390" s="2"/>
      <c r="I390" s="25"/>
      <c r="J390" s="21"/>
      <c r="M390" s="29"/>
      <c r="N390" s="29"/>
      <c r="O390" s="29"/>
      <c r="Q390" s="89"/>
    </row>
    <row r="391" spans="1:17" s="5" customFormat="1">
      <c r="A391" s="6"/>
      <c r="B391" s="10"/>
      <c r="C391" s="192"/>
      <c r="D391" s="2"/>
      <c r="E391" s="133"/>
      <c r="F391" s="2"/>
      <c r="G391" s="105"/>
      <c r="H391" s="2"/>
      <c r="I391" s="25"/>
      <c r="J391" s="21"/>
      <c r="M391" s="29"/>
      <c r="N391" s="29"/>
      <c r="O391" s="29"/>
      <c r="Q391" s="89"/>
    </row>
    <row r="392" spans="1:17" s="5" customFormat="1" ht="99.2" customHeight="1">
      <c r="A392" s="6"/>
      <c r="B392" s="10"/>
      <c r="C392" s="192"/>
      <c r="D392" s="2"/>
      <c r="E392" s="133"/>
      <c r="F392" s="2"/>
      <c r="G392" s="105"/>
      <c r="H392" s="15"/>
      <c r="I392" s="25"/>
      <c r="J392" s="21"/>
      <c r="K392" s="10"/>
      <c r="M392" s="29"/>
      <c r="N392" s="29"/>
      <c r="O392" s="29"/>
      <c r="Q392" s="89"/>
    </row>
    <row r="393" spans="1:17" s="5" customFormat="1">
      <c r="A393" s="6"/>
      <c r="B393" s="10"/>
      <c r="C393" s="192"/>
      <c r="D393" s="2"/>
      <c r="E393" s="133"/>
      <c r="F393" s="2"/>
      <c r="G393" s="105"/>
      <c r="H393" s="15"/>
      <c r="I393" s="25"/>
      <c r="J393" s="21"/>
      <c r="M393" s="29"/>
      <c r="N393" s="29"/>
      <c r="O393" s="29"/>
      <c r="Q393" s="89"/>
    </row>
    <row r="394" spans="1:17" s="5" customFormat="1">
      <c r="A394" s="6"/>
      <c r="B394" s="10"/>
      <c r="C394" s="74"/>
      <c r="D394" s="2"/>
      <c r="E394" s="133"/>
      <c r="F394" s="2"/>
      <c r="G394" s="105"/>
      <c r="H394" s="2"/>
      <c r="I394" s="25"/>
      <c r="J394" s="21"/>
      <c r="M394" s="29"/>
      <c r="N394" s="29"/>
      <c r="O394" s="29"/>
      <c r="Q394" s="89"/>
    </row>
    <row r="395" spans="1:17" s="5" customFormat="1">
      <c r="A395" s="6"/>
      <c r="B395" s="10"/>
      <c r="C395" s="192"/>
      <c r="D395" s="2"/>
      <c r="E395" s="133"/>
      <c r="F395" s="2"/>
      <c r="G395" s="105"/>
      <c r="H395" s="2"/>
      <c r="I395" s="25"/>
      <c r="J395" s="21"/>
      <c r="M395" s="29"/>
      <c r="N395" s="29"/>
      <c r="O395" s="29"/>
      <c r="Q395" s="89"/>
    </row>
    <row r="396" spans="1:17" s="5" customFormat="1" ht="96" customHeight="1">
      <c r="A396" s="6"/>
      <c r="B396" s="10"/>
      <c r="C396" s="192"/>
      <c r="D396" s="2"/>
      <c r="E396" s="133"/>
      <c r="F396" s="2"/>
      <c r="G396" s="105"/>
      <c r="H396" s="15"/>
      <c r="I396" s="25"/>
      <c r="J396" s="21"/>
      <c r="M396" s="29"/>
      <c r="N396" s="29"/>
      <c r="O396" s="29"/>
      <c r="Q396" s="89"/>
    </row>
    <row r="397" spans="1:17" s="5" customFormat="1">
      <c r="A397" s="6"/>
      <c r="B397" s="10"/>
      <c r="C397" s="192"/>
      <c r="D397" s="2"/>
      <c r="E397" s="133"/>
      <c r="F397" s="2"/>
      <c r="G397" s="105"/>
      <c r="H397" s="15"/>
      <c r="I397" s="25"/>
      <c r="J397" s="21"/>
      <c r="M397" s="29"/>
      <c r="N397" s="29"/>
      <c r="O397" s="29"/>
      <c r="Q397" s="89"/>
    </row>
    <row r="398" spans="1:17" s="5" customFormat="1">
      <c r="A398" s="6"/>
      <c r="B398" s="10"/>
      <c r="C398" s="74"/>
      <c r="D398" s="2"/>
      <c r="E398" s="133"/>
      <c r="F398" s="2"/>
      <c r="G398" s="105"/>
      <c r="H398" s="2"/>
      <c r="I398" s="25"/>
      <c r="J398" s="21"/>
      <c r="M398" s="29"/>
      <c r="N398" s="29"/>
      <c r="O398" s="29"/>
      <c r="Q398" s="89"/>
    </row>
    <row r="399" spans="1:17" s="5" customFormat="1">
      <c r="A399" s="6"/>
      <c r="B399" s="10"/>
      <c r="C399" s="192"/>
      <c r="D399" s="2"/>
      <c r="E399" s="133"/>
      <c r="F399" s="2"/>
      <c r="G399" s="105"/>
      <c r="H399" s="2"/>
      <c r="I399" s="25"/>
      <c r="J399" s="21"/>
      <c r="M399" s="29"/>
      <c r="N399" s="29"/>
      <c r="O399" s="29"/>
      <c r="Q399" s="89"/>
    </row>
    <row r="400" spans="1:17" s="5" customFormat="1" ht="99.2" customHeight="1">
      <c r="A400" s="6"/>
      <c r="B400" s="10"/>
      <c r="C400" s="192"/>
      <c r="D400" s="2"/>
      <c r="E400" s="133"/>
      <c r="F400" s="2"/>
      <c r="G400" s="105"/>
      <c r="H400" s="15"/>
      <c r="I400" s="25"/>
      <c r="J400" s="21"/>
      <c r="K400" s="10"/>
      <c r="M400" s="29"/>
      <c r="N400" s="29"/>
      <c r="O400" s="29"/>
      <c r="Q400" s="89"/>
    </row>
    <row r="401" spans="1:17" s="5" customFormat="1">
      <c r="A401" s="6"/>
      <c r="B401" s="10"/>
      <c r="C401" s="192"/>
      <c r="D401" s="2"/>
      <c r="E401" s="133"/>
      <c r="F401" s="2"/>
      <c r="G401" s="105"/>
      <c r="H401" s="15"/>
      <c r="I401" s="25"/>
      <c r="J401" s="21"/>
      <c r="M401" s="29"/>
      <c r="N401" s="29"/>
      <c r="O401" s="29"/>
      <c r="Q401" s="89"/>
    </row>
    <row r="402" spans="1:17" s="5" customFormat="1">
      <c r="A402" s="6"/>
      <c r="B402" s="10"/>
      <c r="C402" s="74"/>
      <c r="D402" s="2"/>
      <c r="E402" s="133"/>
      <c r="F402" s="2"/>
      <c r="G402" s="105"/>
      <c r="H402" s="2"/>
      <c r="I402" s="25"/>
      <c r="J402" s="21"/>
      <c r="M402" s="29"/>
      <c r="N402" s="29"/>
      <c r="O402" s="29"/>
      <c r="Q402" s="89"/>
    </row>
    <row r="403" spans="1:17" s="5" customFormat="1">
      <c r="A403" s="6"/>
      <c r="B403" s="10"/>
      <c r="C403" s="192"/>
      <c r="D403" s="2"/>
      <c r="E403" s="133"/>
      <c r="F403" s="2"/>
      <c r="G403" s="105"/>
      <c r="H403" s="2"/>
      <c r="I403" s="25"/>
      <c r="J403" s="21"/>
      <c r="M403" s="29"/>
      <c r="N403" s="29"/>
      <c r="O403" s="29"/>
      <c r="Q403" s="89"/>
    </row>
    <row r="404" spans="1:17" s="5" customFormat="1" ht="96" customHeight="1">
      <c r="A404" s="6"/>
      <c r="B404" s="10"/>
      <c r="C404" s="192"/>
      <c r="D404" s="2"/>
      <c r="E404" s="133"/>
      <c r="F404" s="2"/>
      <c r="G404" s="105"/>
      <c r="H404" s="15"/>
      <c r="I404" s="25"/>
      <c r="J404" s="21"/>
      <c r="M404" s="29"/>
      <c r="N404" s="29"/>
      <c r="O404" s="29"/>
      <c r="Q404" s="89"/>
    </row>
    <row r="405" spans="1:17" s="5" customFormat="1">
      <c r="A405" s="6"/>
      <c r="B405" s="10"/>
      <c r="C405" s="192"/>
      <c r="D405" s="2"/>
      <c r="E405" s="133"/>
      <c r="F405" s="2"/>
      <c r="G405" s="105"/>
      <c r="H405" s="15"/>
      <c r="I405" s="25"/>
      <c r="J405" s="21"/>
      <c r="M405" s="29"/>
      <c r="N405" s="29"/>
      <c r="O405" s="29"/>
      <c r="Q405" s="89"/>
    </row>
    <row r="406" spans="1:17" s="5" customFormat="1">
      <c r="A406" s="6"/>
      <c r="B406" s="10"/>
      <c r="C406" s="74"/>
      <c r="D406" s="2"/>
      <c r="E406" s="133"/>
      <c r="F406" s="2"/>
      <c r="G406" s="105"/>
      <c r="H406" s="2"/>
      <c r="I406" s="25"/>
      <c r="J406" s="21"/>
      <c r="M406" s="29"/>
      <c r="N406" s="29"/>
      <c r="O406" s="29"/>
      <c r="Q406" s="89"/>
    </row>
    <row r="407" spans="1:17" s="5" customFormat="1">
      <c r="A407" s="6"/>
      <c r="B407" s="10"/>
      <c r="C407" s="192"/>
      <c r="D407" s="2"/>
      <c r="E407" s="133"/>
      <c r="F407" s="2"/>
      <c r="G407" s="105"/>
      <c r="H407" s="2"/>
      <c r="I407" s="25"/>
      <c r="J407" s="21"/>
      <c r="M407" s="29"/>
      <c r="N407" s="29"/>
      <c r="O407" s="29"/>
      <c r="Q407" s="89"/>
    </row>
    <row r="408" spans="1:17" s="5" customFormat="1" ht="98.25" customHeight="1">
      <c r="A408" s="6"/>
      <c r="B408" s="10"/>
      <c r="C408" s="192"/>
      <c r="D408" s="2"/>
      <c r="E408" s="133"/>
      <c r="F408" s="2"/>
      <c r="G408" s="105"/>
      <c r="H408" s="15"/>
      <c r="I408" s="25"/>
      <c r="J408" s="21"/>
      <c r="M408" s="29"/>
      <c r="N408" s="29"/>
      <c r="O408" s="29"/>
      <c r="Q408" s="89"/>
    </row>
    <row r="409" spans="1:17" s="5" customFormat="1">
      <c r="A409" s="6"/>
      <c r="B409" s="10"/>
      <c r="C409" s="192"/>
      <c r="D409" s="2"/>
      <c r="E409" s="133"/>
      <c r="F409" s="2"/>
      <c r="G409" s="105"/>
      <c r="H409" s="15"/>
      <c r="I409" s="25"/>
      <c r="J409" s="21"/>
      <c r="M409" s="29"/>
      <c r="N409" s="29"/>
      <c r="O409" s="29"/>
      <c r="Q409" s="89"/>
    </row>
    <row r="410" spans="1:17" s="5" customFormat="1">
      <c r="A410" s="6"/>
      <c r="B410" s="10"/>
      <c r="C410" s="74"/>
      <c r="D410" s="2"/>
      <c r="E410" s="133"/>
      <c r="F410" s="2"/>
      <c r="G410" s="105"/>
      <c r="H410" s="2"/>
      <c r="I410" s="25"/>
      <c r="J410" s="21"/>
      <c r="M410" s="29"/>
      <c r="N410" s="29"/>
      <c r="O410" s="29"/>
      <c r="Q410" s="89"/>
    </row>
    <row r="411" spans="1:17" s="5" customFormat="1">
      <c r="A411" s="6"/>
      <c r="B411" s="10"/>
      <c r="C411" s="192"/>
      <c r="D411" s="2"/>
      <c r="E411" s="133"/>
      <c r="F411" s="2"/>
      <c r="G411" s="105"/>
      <c r="H411" s="2"/>
      <c r="I411" s="25"/>
      <c r="J411" s="21"/>
      <c r="M411" s="29"/>
      <c r="N411" s="29"/>
      <c r="O411" s="29"/>
      <c r="Q411" s="89"/>
    </row>
    <row r="412" spans="1:17" s="5" customFormat="1" ht="96" customHeight="1">
      <c r="A412" s="6"/>
      <c r="B412" s="10"/>
      <c r="C412" s="192"/>
      <c r="D412" s="2"/>
      <c r="E412" s="133"/>
      <c r="F412" s="2"/>
      <c r="G412" s="105"/>
      <c r="H412" s="15"/>
      <c r="I412" s="25"/>
      <c r="J412" s="21"/>
      <c r="M412" s="29"/>
      <c r="N412" s="29"/>
      <c r="O412" s="29"/>
      <c r="Q412" s="89"/>
    </row>
    <row r="413" spans="1:17" s="5" customFormat="1">
      <c r="A413" s="6"/>
      <c r="B413" s="10"/>
      <c r="C413" s="192"/>
      <c r="D413" s="2"/>
      <c r="E413" s="133"/>
      <c r="F413" s="2"/>
      <c r="G413" s="105"/>
      <c r="H413" s="15"/>
      <c r="I413" s="25"/>
      <c r="J413" s="21"/>
      <c r="M413" s="29"/>
      <c r="N413" s="29"/>
      <c r="O413" s="29"/>
      <c r="Q413" s="89"/>
    </row>
    <row r="414" spans="1:17" s="5" customFormat="1">
      <c r="A414" s="6"/>
      <c r="B414" s="10"/>
      <c r="C414" s="74"/>
      <c r="D414" s="2"/>
      <c r="E414" s="133"/>
      <c r="F414" s="2"/>
      <c r="G414" s="105"/>
      <c r="H414" s="2"/>
      <c r="I414" s="25"/>
      <c r="J414" s="21"/>
      <c r="M414" s="29"/>
      <c r="N414" s="29"/>
      <c r="O414" s="29"/>
      <c r="Q414" s="89"/>
    </row>
    <row r="415" spans="1:17" s="5" customFormat="1">
      <c r="A415" s="6"/>
      <c r="B415" s="10"/>
      <c r="C415" s="192"/>
      <c r="D415" s="2"/>
      <c r="E415" s="133"/>
      <c r="F415" s="2"/>
      <c r="G415" s="105"/>
      <c r="H415" s="2"/>
      <c r="I415" s="25"/>
      <c r="J415" s="21"/>
      <c r="M415" s="29"/>
      <c r="N415" s="29"/>
      <c r="O415" s="29"/>
      <c r="Q415" s="89"/>
    </row>
    <row r="416" spans="1:17" s="5" customFormat="1" ht="99.2" customHeight="1">
      <c r="A416" s="6"/>
      <c r="B416" s="10"/>
      <c r="C416" s="192"/>
      <c r="D416" s="2"/>
      <c r="E416" s="133"/>
      <c r="F416" s="2"/>
      <c r="G416" s="105"/>
      <c r="H416" s="15"/>
      <c r="I416" s="25"/>
      <c r="J416" s="21"/>
      <c r="M416" s="29"/>
      <c r="N416" s="29"/>
      <c r="O416" s="29"/>
      <c r="Q416" s="89"/>
    </row>
    <row r="417" spans="1:17" s="5" customFormat="1">
      <c r="A417" s="6"/>
      <c r="B417" s="10"/>
      <c r="C417" s="192"/>
      <c r="D417" s="2"/>
      <c r="E417" s="133"/>
      <c r="F417" s="2"/>
      <c r="G417" s="105"/>
      <c r="H417" s="15"/>
      <c r="I417" s="25"/>
      <c r="J417" s="21"/>
      <c r="M417" s="29"/>
      <c r="N417" s="29"/>
      <c r="O417" s="29"/>
      <c r="Q417" s="89"/>
    </row>
    <row r="418" spans="1:17" s="5" customFormat="1">
      <c r="A418" s="6"/>
      <c r="B418" s="10"/>
      <c r="C418" s="74"/>
      <c r="D418" s="2"/>
      <c r="E418" s="133"/>
      <c r="F418" s="2"/>
      <c r="G418" s="105"/>
      <c r="H418" s="2"/>
      <c r="I418" s="25"/>
      <c r="J418" s="21"/>
      <c r="M418" s="29"/>
      <c r="N418" s="29"/>
      <c r="O418" s="29"/>
      <c r="Q418" s="89"/>
    </row>
    <row r="419" spans="1:17" s="5" customFormat="1">
      <c r="A419" s="6"/>
      <c r="B419" s="10"/>
      <c r="C419" s="192"/>
      <c r="D419" s="2"/>
      <c r="E419" s="133"/>
      <c r="F419" s="2"/>
      <c r="G419" s="105"/>
      <c r="H419" s="2"/>
      <c r="I419" s="25"/>
      <c r="J419" s="21"/>
      <c r="M419" s="29"/>
      <c r="N419" s="29"/>
      <c r="O419" s="29"/>
      <c r="Q419" s="89"/>
    </row>
    <row r="420" spans="1:17" s="5" customFormat="1" ht="97.5" customHeight="1">
      <c r="A420" s="6"/>
      <c r="B420" s="10"/>
      <c r="C420" s="192"/>
      <c r="D420" s="2"/>
      <c r="E420" s="133"/>
      <c r="F420" s="2"/>
      <c r="G420" s="105"/>
      <c r="H420" s="15"/>
      <c r="I420" s="25"/>
      <c r="J420" s="21"/>
      <c r="M420" s="29"/>
      <c r="N420" s="29"/>
      <c r="O420" s="29"/>
      <c r="Q420" s="89"/>
    </row>
    <row r="421" spans="1:17" s="5" customFormat="1">
      <c r="A421" s="6"/>
      <c r="B421" s="10"/>
      <c r="C421" s="192"/>
      <c r="D421" s="2"/>
      <c r="E421" s="133"/>
      <c r="F421" s="2"/>
      <c r="G421" s="105"/>
      <c r="H421" s="15"/>
      <c r="I421" s="25"/>
      <c r="J421" s="21"/>
      <c r="M421" s="29"/>
      <c r="N421" s="29"/>
      <c r="O421" s="29"/>
      <c r="Q421" s="89"/>
    </row>
    <row r="422" spans="1:17" s="5" customFormat="1">
      <c r="A422" s="6"/>
      <c r="B422" s="10"/>
      <c r="C422" s="74"/>
      <c r="D422" s="2"/>
      <c r="E422" s="133"/>
      <c r="F422" s="2"/>
      <c r="G422" s="105"/>
      <c r="H422" s="2"/>
      <c r="I422" s="25"/>
      <c r="J422" s="21"/>
      <c r="M422" s="29"/>
      <c r="N422" s="29"/>
      <c r="O422" s="29"/>
      <c r="Q422" s="89"/>
    </row>
    <row r="423" spans="1:17" s="5" customFormat="1">
      <c r="A423" s="6"/>
      <c r="B423" s="10"/>
      <c r="C423" s="192"/>
      <c r="D423" s="2"/>
      <c r="E423" s="133"/>
      <c r="F423" s="2"/>
      <c r="G423" s="105"/>
      <c r="H423" s="2"/>
      <c r="I423" s="25"/>
      <c r="J423" s="21"/>
      <c r="M423" s="29"/>
      <c r="N423" s="29"/>
      <c r="O423" s="29"/>
      <c r="Q423" s="89"/>
    </row>
    <row r="424" spans="1:17" s="5" customFormat="1" ht="96.75" customHeight="1">
      <c r="A424" s="6"/>
      <c r="B424" s="10"/>
      <c r="C424" s="192"/>
      <c r="D424" s="2"/>
      <c r="E424" s="133"/>
      <c r="F424" s="2"/>
      <c r="G424" s="105"/>
      <c r="H424" s="15"/>
      <c r="I424" s="25"/>
      <c r="J424" s="21"/>
      <c r="M424" s="29"/>
      <c r="N424" s="29"/>
      <c r="O424" s="29"/>
      <c r="Q424" s="89"/>
    </row>
    <row r="425" spans="1:17" s="5" customFormat="1">
      <c r="A425" s="6"/>
      <c r="B425" s="10"/>
      <c r="C425" s="192"/>
      <c r="D425" s="2"/>
      <c r="E425" s="133"/>
      <c r="F425" s="2"/>
      <c r="G425" s="105"/>
      <c r="H425" s="15"/>
      <c r="I425" s="25"/>
      <c r="J425" s="21"/>
      <c r="M425" s="29"/>
      <c r="N425" s="29"/>
      <c r="O425" s="29"/>
      <c r="Q425" s="89"/>
    </row>
    <row r="426" spans="1:17" s="5" customFormat="1">
      <c r="A426" s="6"/>
      <c r="B426" s="10"/>
      <c r="C426" s="74"/>
      <c r="D426" s="2"/>
      <c r="E426" s="133"/>
      <c r="F426" s="2"/>
      <c r="G426" s="105"/>
      <c r="H426" s="2"/>
      <c r="I426" s="25"/>
      <c r="J426" s="21"/>
      <c r="M426" s="29"/>
      <c r="N426" s="29"/>
      <c r="O426" s="29"/>
      <c r="Q426" s="89"/>
    </row>
    <row r="427" spans="1:17" s="5" customFormat="1">
      <c r="A427" s="6"/>
      <c r="B427" s="10"/>
      <c r="C427" s="192"/>
      <c r="D427" s="2"/>
      <c r="E427" s="133"/>
      <c r="F427" s="2"/>
      <c r="G427" s="105"/>
      <c r="H427" s="2"/>
      <c r="I427" s="25"/>
      <c r="J427" s="21"/>
      <c r="M427" s="29"/>
      <c r="N427" s="29"/>
      <c r="O427" s="29"/>
      <c r="Q427" s="89"/>
    </row>
    <row r="428" spans="1:17" s="5" customFormat="1" ht="93" customHeight="1">
      <c r="A428" s="6"/>
      <c r="B428" s="10"/>
      <c r="C428" s="192"/>
      <c r="D428" s="2"/>
      <c r="E428" s="133"/>
      <c r="F428" s="2"/>
      <c r="G428" s="105"/>
      <c r="H428" s="15"/>
      <c r="I428" s="25"/>
      <c r="J428" s="21"/>
      <c r="M428" s="29"/>
      <c r="N428" s="29"/>
      <c r="O428" s="29"/>
      <c r="Q428" s="89"/>
    </row>
    <row r="429" spans="1:17" s="5" customFormat="1">
      <c r="A429" s="6"/>
      <c r="B429" s="10"/>
      <c r="C429" s="192"/>
      <c r="D429" s="2"/>
      <c r="E429" s="133"/>
      <c r="F429" s="2"/>
      <c r="G429" s="105"/>
      <c r="H429" s="15"/>
      <c r="I429" s="25"/>
      <c r="J429" s="21"/>
      <c r="M429" s="29"/>
      <c r="N429" s="29"/>
      <c r="O429" s="29"/>
      <c r="Q429" s="89"/>
    </row>
    <row r="430" spans="1:17" s="5" customFormat="1">
      <c r="A430" s="6"/>
      <c r="B430" s="10"/>
      <c r="C430" s="74"/>
      <c r="D430" s="2"/>
      <c r="E430" s="133"/>
      <c r="F430" s="2"/>
      <c r="G430" s="105"/>
      <c r="H430" s="2"/>
      <c r="I430" s="25"/>
      <c r="J430" s="197"/>
      <c r="M430" s="29"/>
      <c r="N430" s="29"/>
      <c r="O430" s="29"/>
      <c r="Q430" s="89"/>
    </row>
    <row r="431" spans="1:17" s="5" customFormat="1">
      <c r="A431" s="6"/>
      <c r="B431" s="10"/>
      <c r="C431" s="192"/>
      <c r="D431" s="2"/>
      <c r="E431" s="133"/>
      <c r="F431" s="2"/>
      <c r="G431" s="105"/>
      <c r="H431" s="2"/>
      <c r="I431" s="25"/>
      <c r="J431" s="21"/>
      <c r="M431" s="29"/>
      <c r="N431" s="29"/>
      <c r="O431" s="29"/>
      <c r="Q431" s="89"/>
    </row>
    <row r="432" spans="1:17" s="5" customFormat="1">
      <c r="A432" s="6"/>
      <c r="B432" s="10"/>
      <c r="C432" s="192"/>
      <c r="D432" s="2"/>
      <c r="E432" s="133"/>
      <c r="F432" s="2"/>
      <c r="G432" s="105"/>
      <c r="H432" s="15"/>
      <c r="I432" s="25"/>
      <c r="J432" s="21"/>
      <c r="M432" s="29"/>
      <c r="N432" s="29"/>
      <c r="O432" s="29"/>
      <c r="Q432" s="89"/>
    </row>
    <row r="433" spans="1:17" s="5" customFormat="1">
      <c r="A433" s="6"/>
      <c r="B433" s="10"/>
      <c r="C433" s="192"/>
      <c r="D433" s="2"/>
      <c r="E433" s="133"/>
      <c r="F433" s="2"/>
      <c r="G433" s="105"/>
      <c r="H433" s="15"/>
      <c r="I433" s="25"/>
      <c r="J433" s="21"/>
      <c r="M433" s="29"/>
      <c r="N433" s="29"/>
      <c r="O433" s="29"/>
      <c r="Q433" s="89"/>
    </row>
    <row r="434" spans="1:17" s="5" customFormat="1">
      <c r="A434" s="6"/>
      <c r="B434" s="10"/>
      <c r="C434" s="74"/>
      <c r="D434" s="2"/>
      <c r="E434" s="133"/>
      <c r="F434" s="2"/>
      <c r="G434" s="105"/>
      <c r="H434" s="2"/>
      <c r="I434" s="25"/>
      <c r="J434" s="21"/>
      <c r="M434" s="29"/>
      <c r="N434" s="29"/>
      <c r="O434" s="29"/>
      <c r="Q434" s="89"/>
    </row>
    <row r="435" spans="1:17" s="5" customFormat="1">
      <c r="A435" s="6"/>
      <c r="B435" s="10"/>
      <c r="C435" s="74"/>
      <c r="D435" s="2"/>
      <c r="E435" s="133"/>
      <c r="F435" s="2"/>
      <c r="G435" s="105"/>
      <c r="H435" s="2"/>
      <c r="I435" s="25"/>
      <c r="J435" s="21"/>
      <c r="M435" s="29"/>
      <c r="N435" s="29"/>
      <c r="O435" s="29"/>
      <c r="Q435" s="89"/>
    </row>
    <row r="436" spans="1:17" ht="93.75" customHeight="1">
      <c r="B436" s="10"/>
      <c r="H436" s="175"/>
    </row>
    <row r="437" spans="1:17">
      <c r="B437" s="167"/>
      <c r="H437" s="175"/>
    </row>
    <row r="438" spans="1:17">
      <c r="B438" s="167"/>
      <c r="C438" s="173"/>
      <c r="H438" s="132"/>
      <c r="Q438" s="198"/>
    </row>
    <row r="439" spans="1:17">
      <c r="B439" s="167"/>
      <c r="H439" s="132"/>
      <c r="Q439" s="198"/>
    </row>
    <row r="440" spans="1:17" ht="112.5" customHeight="1">
      <c r="B440" s="10"/>
      <c r="H440" s="175"/>
    </row>
    <row r="441" spans="1:17">
      <c r="B441" s="167"/>
      <c r="H441" s="175"/>
    </row>
    <row r="442" spans="1:17">
      <c r="B442" s="167"/>
      <c r="C442" s="173"/>
      <c r="H442" s="132"/>
      <c r="Q442" s="198"/>
    </row>
    <row r="443" spans="1:17">
      <c r="B443" s="167"/>
      <c r="H443" s="132"/>
      <c r="J443" s="199"/>
      <c r="Q443" s="198"/>
    </row>
    <row r="444" spans="1:17" ht="81.75" customHeight="1">
      <c r="B444" s="10"/>
      <c r="H444" s="175"/>
    </row>
    <row r="445" spans="1:17">
      <c r="B445" s="167"/>
      <c r="H445" s="175"/>
    </row>
    <row r="446" spans="1:17">
      <c r="B446" s="167"/>
      <c r="C446" s="173"/>
      <c r="H446" s="132"/>
      <c r="Q446" s="198"/>
    </row>
    <row r="447" spans="1:17">
      <c r="B447" s="167"/>
      <c r="H447" s="132"/>
      <c r="Q447" s="198"/>
    </row>
    <row r="448" spans="1:17">
      <c r="B448" s="167"/>
      <c r="H448" s="132"/>
      <c r="Q448" s="198"/>
    </row>
    <row r="449" spans="1:17" ht="28.5" customHeight="1">
      <c r="B449" s="10"/>
      <c r="H449" s="175"/>
    </row>
    <row r="450" spans="1:17">
      <c r="B450" s="167"/>
      <c r="H450" s="175"/>
    </row>
    <row r="451" spans="1:17">
      <c r="B451" s="167"/>
      <c r="C451" s="173"/>
      <c r="H451" s="132"/>
      <c r="Q451" s="198"/>
    </row>
    <row r="452" spans="1:17">
      <c r="B452" s="167"/>
      <c r="C452" s="173"/>
      <c r="H452" s="132"/>
      <c r="I452" s="136"/>
      <c r="J452" s="136"/>
      <c r="M452" s="136"/>
      <c r="N452" s="136"/>
      <c r="O452" s="136"/>
    </row>
    <row r="453" spans="1:17" ht="84" customHeight="1">
      <c r="B453" s="10"/>
      <c r="H453" s="175"/>
    </row>
    <row r="454" spans="1:17">
      <c r="B454" s="167"/>
      <c r="H454" s="175"/>
    </row>
    <row r="455" spans="1:17">
      <c r="B455" s="167"/>
      <c r="C455" s="173"/>
      <c r="H455" s="132"/>
      <c r="Q455" s="198"/>
    </row>
    <row r="456" spans="1:17">
      <c r="B456" s="167"/>
      <c r="C456" s="173"/>
      <c r="H456" s="132"/>
      <c r="Q456" s="198"/>
    </row>
    <row r="457" spans="1:17">
      <c r="B457" s="10"/>
      <c r="H457" s="175"/>
    </row>
    <row r="458" spans="1:17">
      <c r="B458" s="167"/>
      <c r="H458" s="175"/>
    </row>
    <row r="459" spans="1:17">
      <c r="B459" s="167"/>
      <c r="C459" s="173"/>
      <c r="H459" s="132"/>
      <c r="Q459" s="198"/>
    </row>
    <row r="460" spans="1:17">
      <c r="B460" s="167"/>
      <c r="C460" s="173"/>
      <c r="H460" s="132"/>
      <c r="Q460" s="198"/>
    </row>
    <row r="461" spans="1:17">
      <c r="B461" s="10"/>
      <c r="H461" s="175"/>
    </row>
    <row r="462" spans="1:17">
      <c r="B462" s="167"/>
      <c r="H462" s="175"/>
    </row>
    <row r="463" spans="1:17">
      <c r="B463" s="167"/>
      <c r="C463" s="173"/>
      <c r="H463" s="132"/>
      <c r="Q463" s="198"/>
    </row>
    <row r="464" spans="1:17" s="5" customFormat="1">
      <c r="A464" s="6"/>
      <c r="B464" s="10"/>
      <c r="C464" s="192"/>
      <c r="D464" s="2"/>
      <c r="E464" s="133"/>
      <c r="F464" s="2"/>
      <c r="G464" s="105"/>
      <c r="H464" s="2"/>
      <c r="Q464" s="89"/>
    </row>
    <row r="465" spans="2:17">
      <c r="B465" s="10"/>
      <c r="H465" s="175"/>
    </row>
    <row r="466" spans="2:17">
      <c r="B466" s="167"/>
      <c r="H466" s="175"/>
    </row>
    <row r="467" spans="2:17">
      <c r="B467" s="167"/>
      <c r="C467" s="173"/>
      <c r="H467" s="132"/>
      <c r="Q467" s="198"/>
    </row>
    <row r="468" spans="2:17">
      <c r="B468" s="167"/>
      <c r="C468" s="173"/>
      <c r="H468" s="132"/>
      <c r="Q468" s="198"/>
    </row>
    <row r="469" spans="2:17">
      <c r="B469" s="10"/>
      <c r="H469" s="175"/>
    </row>
    <row r="470" spans="2:17">
      <c r="B470" s="167"/>
      <c r="H470" s="175"/>
    </row>
    <row r="471" spans="2:17">
      <c r="B471" s="167"/>
      <c r="C471" s="173"/>
      <c r="H471" s="132"/>
      <c r="Q471" s="198"/>
    </row>
    <row r="472" spans="2:17">
      <c r="B472" s="167"/>
      <c r="C472" s="173"/>
      <c r="H472" s="132"/>
      <c r="Q472" s="198"/>
    </row>
    <row r="473" spans="2:17">
      <c r="B473" s="10"/>
      <c r="H473" s="175"/>
    </row>
    <row r="474" spans="2:17">
      <c r="B474" s="167"/>
      <c r="H474" s="175"/>
    </row>
    <row r="475" spans="2:17">
      <c r="B475" s="167"/>
      <c r="C475" s="173"/>
      <c r="H475" s="132"/>
      <c r="Q475" s="198"/>
    </row>
    <row r="476" spans="2:17">
      <c r="B476" s="167"/>
      <c r="H476" s="132"/>
      <c r="Q476" s="198"/>
    </row>
    <row r="477" spans="2:17">
      <c r="B477" s="10"/>
      <c r="H477" s="175"/>
    </row>
    <row r="478" spans="2:17">
      <c r="B478" s="167"/>
      <c r="H478" s="175"/>
    </row>
    <row r="479" spans="2:17">
      <c r="B479" s="167"/>
      <c r="C479" s="173"/>
      <c r="H479" s="132"/>
      <c r="Q479" s="198"/>
    </row>
    <row r="480" spans="2:17">
      <c r="B480" s="167"/>
      <c r="C480" s="173"/>
      <c r="H480" s="132"/>
      <c r="K480" s="153"/>
      <c r="L480" s="153"/>
      <c r="Q480" s="198"/>
    </row>
    <row r="481" spans="2:17">
      <c r="B481" s="10"/>
      <c r="H481" s="175"/>
    </row>
    <row r="482" spans="2:17">
      <c r="B482" s="167"/>
      <c r="H482" s="175"/>
    </row>
    <row r="483" spans="2:17">
      <c r="B483" s="167"/>
      <c r="C483" s="173"/>
      <c r="H483" s="132"/>
      <c r="Q483" s="198"/>
    </row>
    <row r="484" spans="2:17">
      <c r="B484" s="167"/>
      <c r="C484" s="173"/>
      <c r="H484" s="132"/>
      <c r="Q484" s="198"/>
    </row>
    <row r="485" spans="2:17">
      <c r="B485" s="10"/>
      <c r="H485" s="175"/>
    </row>
    <row r="486" spans="2:17">
      <c r="B486" s="167"/>
      <c r="H486" s="175"/>
    </row>
    <row r="487" spans="2:17">
      <c r="B487" s="167"/>
      <c r="C487" s="173"/>
      <c r="H487" s="132"/>
      <c r="Q487" s="198"/>
    </row>
    <row r="488" spans="2:17">
      <c r="B488" s="167"/>
      <c r="H488" s="132"/>
      <c r="Q488" s="198"/>
    </row>
    <row r="489" spans="2:17">
      <c r="B489" s="10"/>
      <c r="H489" s="175"/>
    </row>
    <row r="490" spans="2:17">
      <c r="B490" s="167"/>
      <c r="H490" s="175"/>
    </row>
    <row r="491" spans="2:17">
      <c r="B491" s="167"/>
      <c r="C491" s="173"/>
      <c r="H491" s="132"/>
      <c r="Q491" s="198"/>
    </row>
    <row r="492" spans="2:17">
      <c r="B492" s="167"/>
      <c r="H492" s="132"/>
      <c r="Q492" s="198"/>
    </row>
    <row r="493" spans="2:17">
      <c r="B493" s="10"/>
      <c r="H493" s="175"/>
    </row>
    <row r="494" spans="2:17">
      <c r="B494" s="167"/>
      <c r="H494" s="175"/>
    </row>
    <row r="495" spans="2:17">
      <c r="B495" s="167"/>
      <c r="C495" s="173"/>
      <c r="H495" s="132"/>
      <c r="Q495" s="198"/>
    </row>
    <row r="496" spans="2:17">
      <c r="B496" s="167"/>
      <c r="C496" s="173"/>
      <c r="H496" s="132"/>
      <c r="Q496" s="198"/>
    </row>
    <row r="497" spans="2:17">
      <c r="B497" s="10"/>
      <c r="H497" s="175"/>
    </row>
    <row r="498" spans="2:17">
      <c r="B498" s="167"/>
      <c r="H498" s="175"/>
    </row>
    <row r="499" spans="2:17">
      <c r="B499" s="167"/>
      <c r="C499" s="173"/>
      <c r="H499" s="132"/>
      <c r="Q499" s="198"/>
    </row>
    <row r="500" spans="2:17">
      <c r="B500" s="167"/>
      <c r="C500" s="173"/>
      <c r="H500" s="132"/>
      <c r="Q500" s="198"/>
    </row>
    <row r="501" spans="2:17">
      <c r="B501" s="10"/>
      <c r="H501" s="175"/>
    </row>
    <row r="502" spans="2:17">
      <c r="B502" s="167"/>
      <c r="H502" s="175"/>
    </row>
    <row r="503" spans="2:17">
      <c r="B503" s="167"/>
      <c r="C503" s="173"/>
      <c r="H503" s="132"/>
      <c r="Q503" s="198"/>
    </row>
    <row r="504" spans="2:17">
      <c r="B504" s="167"/>
      <c r="C504" s="173"/>
      <c r="H504" s="132"/>
      <c r="Q504" s="198"/>
    </row>
    <row r="505" spans="2:17">
      <c r="B505" s="10"/>
      <c r="H505" s="175"/>
    </row>
    <row r="506" spans="2:17">
      <c r="B506" s="167"/>
      <c r="H506" s="175"/>
    </row>
    <row r="507" spans="2:17">
      <c r="B507" s="167"/>
      <c r="C507" s="173"/>
      <c r="H507" s="132"/>
      <c r="Q507" s="198"/>
    </row>
    <row r="508" spans="2:17">
      <c r="B508" s="167"/>
      <c r="H508" s="132"/>
      <c r="Q508" s="198"/>
    </row>
    <row r="509" spans="2:17">
      <c r="B509" s="10"/>
      <c r="H509" s="175"/>
    </row>
    <row r="510" spans="2:17">
      <c r="B510" s="167"/>
      <c r="H510" s="175"/>
    </row>
    <row r="511" spans="2:17">
      <c r="B511" s="167"/>
      <c r="C511" s="173"/>
      <c r="H511" s="132"/>
      <c r="Q511" s="198"/>
    </row>
    <row r="512" spans="2:17">
      <c r="B512" s="167"/>
      <c r="H512" s="132"/>
      <c r="Q512" s="198"/>
    </row>
    <row r="513" spans="2:17">
      <c r="B513" s="10"/>
      <c r="H513" s="175"/>
    </row>
    <row r="514" spans="2:17">
      <c r="B514" s="167"/>
      <c r="H514" s="175"/>
    </row>
    <row r="515" spans="2:17">
      <c r="B515" s="167"/>
      <c r="C515" s="173"/>
      <c r="H515" s="132"/>
      <c r="Q515" s="198"/>
    </row>
    <row r="516" spans="2:17">
      <c r="B516" s="167"/>
      <c r="C516" s="173"/>
      <c r="H516" s="132"/>
      <c r="Q516" s="198"/>
    </row>
    <row r="517" spans="2:17" ht="96" customHeight="1">
      <c r="B517" s="10"/>
      <c r="H517" s="175"/>
    </row>
    <row r="518" spans="2:17">
      <c r="B518" s="167"/>
      <c r="H518" s="175"/>
    </row>
    <row r="519" spans="2:17">
      <c r="B519" s="167"/>
      <c r="C519" s="173"/>
      <c r="H519" s="132"/>
      <c r="Q519" s="198"/>
    </row>
    <row r="520" spans="2:17">
      <c r="B520" s="167"/>
      <c r="C520" s="173"/>
      <c r="H520" s="132"/>
      <c r="Q520" s="198"/>
    </row>
    <row r="521" spans="2:17">
      <c r="B521" s="10"/>
      <c r="H521" s="175"/>
    </row>
    <row r="522" spans="2:17">
      <c r="B522" s="167"/>
      <c r="H522" s="175"/>
    </row>
    <row r="523" spans="2:17">
      <c r="B523" s="167"/>
      <c r="C523" s="173"/>
      <c r="H523" s="132"/>
      <c r="Q523" s="198"/>
    </row>
    <row r="524" spans="2:17">
      <c r="B524" s="167"/>
      <c r="H524" s="132"/>
      <c r="Q524" s="198"/>
    </row>
    <row r="525" spans="2:17">
      <c r="B525" s="10"/>
      <c r="H525" s="175"/>
    </row>
    <row r="526" spans="2:17">
      <c r="B526" s="167"/>
      <c r="H526" s="175"/>
    </row>
    <row r="527" spans="2:17">
      <c r="B527" s="167"/>
      <c r="C527" s="173"/>
      <c r="H527" s="132"/>
      <c r="Q527" s="198"/>
    </row>
    <row r="528" spans="2:17">
      <c r="B528" s="167"/>
      <c r="C528" s="173"/>
      <c r="H528" s="132"/>
      <c r="Q528" s="198"/>
    </row>
    <row r="529" spans="2:17">
      <c r="B529" s="10"/>
      <c r="H529" s="175"/>
    </row>
    <row r="530" spans="2:17">
      <c r="B530" s="167"/>
      <c r="H530" s="175"/>
    </row>
    <row r="531" spans="2:17">
      <c r="B531" s="167"/>
      <c r="C531" s="173"/>
      <c r="H531" s="132"/>
      <c r="Q531" s="198"/>
    </row>
    <row r="532" spans="2:17">
      <c r="B532" s="167"/>
      <c r="C532" s="173"/>
      <c r="H532" s="132"/>
      <c r="Q532" s="198"/>
    </row>
    <row r="533" spans="2:17">
      <c r="B533" s="10"/>
      <c r="H533" s="175"/>
    </row>
    <row r="534" spans="2:17">
      <c r="B534" s="167"/>
      <c r="H534" s="175"/>
    </row>
    <row r="535" spans="2:17">
      <c r="B535" s="167"/>
      <c r="C535" s="173"/>
      <c r="H535" s="132"/>
      <c r="Q535" s="198"/>
    </row>
    <row r="536" spans="2:17">
      <c r="B536" s="167"/>
      <c r="H536" s="132"/>
      <c r="Q536" s="198"/>
    </row>
    <row r="537" spans="2:17">
      <c r="B537" s="10"/>
      <c r="H537" s="175"/>
    </row>
    <row r="538" spans="2:17">
      <c r="B538" s="167"/>
      <c r="H538" s="175"/>
    </row>
    <row r="539" spans="2:17">
      <c r="B539" s="167"/>
      <c r="C539" s="173"/>
      <c r="H539" s="132"/>
      <c r="Q539" s="198"/>
    </row>
    <row r="540" spans="2:17">
      <c r="B540" s="167"/>
      <c r="C540" s="173"/>
      <c r="H540" s="132"/>
      <c r="Q540" s="198"/>
    </row>
    <row r="541" spans="2:17">
      <c r="B541" s="10"/>
      <c r="H541" s="175"/>
    </row>
    <row r="542" spans="2:17">
      <c r="B542" s="167"/>
      <c r="H542" s="175"/>
    </row>
    <row r="543" spans="2:17">
      <c r="B543" s="167"/>
      <c r="C543" s="173"/>
      <c r="H543" s="132"/>
      <c r="Q543" s="198"/>
    </row>
    <row r="544" spans="2:17">
      <c r="B544" s="167"/>
      <c r="H544" s="132"/>
      <c r="Q544" s="198"/>
    </row>
    <row r="545" spans="2:17">
      <c r="B545" s="10"/>
      <c r="H545" s="175"/>
    </row>
    <row r="546" spans="2:17">
      <c r="B546" s="167"/>
      <c r="H546" s="175"/>
    </row>
    <row r="547" spans="2:17">
      <c r="B547" s="167"/>
      <c r="C547" s="173"/>
      <c r="H547" s="132"/>
      <c r="Q547" s="198"/>
    </row>
    <row r="548" spans="2:17">
      <c r="B548" s="167"/>
      <c r="C548" s="173"/>
      <c r="H548" s="132"/>
      <c r="Q548" s="198"/>
    </row>
    <row r="549" spans="2:17">
      <c r="B549" s="10"/>
      <c r="H549" s="175"/>
    </row>
    <row r="550" spans="2:17">
      <c r="B550" s="167"/>
      <c r="H550" s="175"/>
    </row>
    <row r="551" spans="2:17">
      <c r="B551" s="167"/>
      <c r="C551" s="173"/>
      <c r="H551" s="132"/>
      <c r="Q551" s="198"/>
    </row>
    <row r="552" spans="2:17">
      <c r="B552" s="167"/>
      <c r="H552" s="132"/>
      <c r="Q552" s="198"/>
    </row>
    <row r="553" spans="2:17">
      <c r="B553" s="10"/>
      <c r="H553" s="175"/>
    </row>
    <row r="554" spans="2:17">
      <c r="B554" s="167"/>
      <c r="H554" s="175"/>
    </row>
    <row r="555" spans="2:17">
      <c r="B555" s="167"/>
      <c r="C555" s="173"/>
      <c r="H555" s="132"/>
      <c r="Q555" s="198"/>
    </row>
    <row r="556" spans="2:17">
      <c r="B556" s="167"/>
      <c r="C556" s="173"/>
      <c r="H556" s="132"/>
      <c r="Q556" s="198"/>
    </row>
    <row r="557" spans="2:17">
      <c r="B557" s="10"/>
      <c r="H557" s="175"/>
    </row>
    <row r="558" spans="2:17">
      <c r="B558" s="167"/>
      <c r="H558" s="175"/>
    </row>
    <row r="559" spans="2:17">
      <c r="B559" s="167"/>
      <c r="C559" s="173"/>
      <c r="H559" s="132"/>
      <c r="Q559" s="198"/>
    </row>
    <row r="560" spans="2:17">
      <c r="B560" s="167"/>
      <c r="H560" s="132"/>
      <c r="Q560" s="198"/>
    </row>
    <row r="561" spans="2:17">
      <c r="B561" s="10"/>
      <c r="H561" s="175"/>
    </row>
    <row r="562" spans="2:17">
      <c r="B562" s="167"/>
      <c r="H562" s="175"/>
    </row>
    <row r="563" spans="2:17">
      <c r="B563" s="167"/>
      <c r="C563" s="173"/>
      <c r="H563" s="132"/>
      <c r="Q563" s="198"/>
    </row>
    <row r="564" spans="2:17">
      <c r="B564" s="167"/>
      <c r="C564" s="173"/>
      <c r="H564" s="132"/>
      <c r="Q564" s="198"/>
    </row>
    <row r="565" spans="2:17">
      <c r="B565" s="10"/>
      <c r="H565" s="175"/>
    </row>
    <row r="566" spans="2:17">
      <c r="B566" s="167"/>
      <c r="H566" s="175"/>
    </row>
    <row r="567" spans="2:17">
      <c r="B567" s="167"/>
      <c r="C567" s="173"/>
      <c r="H567" s="132"/>
      <c r="Q567" s="198"/>
    </row>
    <row r="568" spans="2:17">
      <c r="B568" s="167"/>
      <c r="C568" s="173"/>
      <c r="H568" s="132"/>
      <c r="Q568" s="198"/>
    </row>
    <row r="569" spans="2:17">
      <c r="B569" s="10"/>
      <c r="H569" s="175"/>
    </row>
    <row r="570" spans="2:17">
      <c r="B570" s="167"/>
      <c r="H570" s="175"/>
    </row>
    <row r="571" spans="2:17">
      <c r="B571" s="167"/>
      <c r="C571" s="173"/>
      <c r="H571" s="132"/>
      <c r="Q571" s="198"/>
    </row>
    <row r="572" spans="2:17">
      <c r="B572" s="167"/>
      <c r="C572" s="173"/>
      <c r="H572" s="132"/>
      <c r="Q572" s="198"/>
    </row>
    <row r="573" spans="2:17">
      <c r="B573" s="10"/>
      <c r="H573" s="175"/>
    </row>
    <row r="574" spans="2:17">
      <c r="B574" s="167"/>
      <c r="H574" s="175"/>
    </row>
    <row r="575" spans="2:17">
      <c r="B575" s="167"/>
      <c r="C575" s="173"/>
      <c r="H575" s="132"/>
      <c r="Q575" s="198"/>
    </row>
    <row r="576" spans="2:17">
      <c r="B576" s="167"/>
      <c r="C576" s="173"/>
      <c r="H576" s="132"/>
      <c r="Q576" s="198"/>
    </row>
    <row r="577" spans="1:17">
      <c r="B577" s="10"/>
      <c r="H577" s="175"/>
    </row>
    <row r="578" spans="1:17">
      <c r="B578" s="167"/>
      <c r="H578" s="175"/>
    </row>
    <row r="579" spans="1:17">
      <c r="B579" s="167"/>
      <c r="C579" s="173"/>
      <c r="H579" s="132"/>
      <c r="Q579" s="198"/>
    </row>
    <row r="580" spans="1:17">
      <c r="B580" s="167"/>
      <c r="C580" s="173"/>
      <c r="H580" s="132"/>
    </row>
    <row r="581" spans="1:17">
      <c r="A581" s="6"/>
      <c r="B581" s="10"/>
      <c r="C581" s="75"/>
      <c r="D581" s="2"/>
      <c r="F581" s="2"/>
      <c r="G581" s="94"/>
      <c r="H581" s="15"/>
      <c r="Q581" s="89"/>
    </row>
    <row r="582" spans="1:17">
      <c r="A582" s="6"/>
      <c r="B582" s="10"/>
      <c r="C582" s="2"/>
      <c r="D582" s="2"/>
      <c r="F582" s="2"/>
      <c r="G582" s="94"/>
      <c r="H582" s="2"/>
      <c r="Q582" s="89"/>
    </row>
    <row r="583" spans="1:17">
      <c r="A583" s="6"/>
      <c r="B583" s="10"/>
      <c r="C583" s="4"/>
      <c r="D583" s="2"/>
      <c r="F583" s="2"/>
      <c r="G583" s="89"/>
      <c r="H583" s="2"/>
      <c r="Q583" s="89"/>
    </row>
    <row r="584" spans="1:17">
      <c r="B584" s="167"/>
      <c r="H584" s="132"/>
    </row>
    <row r="585" spans="1:17" ht="81.2" customHeight="1">
      <c r="B585" s="189"/>
      <c r="H585" s="175"/>
    </row>
    <row r="586" spans="1:17">
      <c r="B586" s="189"/>
      <c r="H586" s="175"/>
    </row>
    <row r="587" spans="1:17">
      <c r="B587" s="167"/>
      <c r="C587" s="173"/>
      <c r="H587" s="132"/>
      <c r="K587" s="190"/>
    </row>
    <row r="588" spans="1:17">
      <c r="B588" s="167"/>
      <c r="H588" s="175"/>
      <c r="I588" s="136"/>
      <c r="J588" s="136"/>
      <c r="M588" s="136"/>
      <c r="N588" s="136"/>
      <c r="O588" s="136"/>
    </row>
    <row r="589" spans="1:17">
      <c r="B589" s="167"/>
      <c r="H589" s="175"/>
      <c r="I589" s="136"/>
      <c r="J589" s="136"/>
      <c r="M589" s="136"/>
      <c r="N589" s="136"/>
      <c r="O589" s="136"/>
    </row>
    <row r="590" spans="1:17">
      <c r="B590" s="167"/>
      <c r="H590" s="175"/>
      <c r="I590" s="136"/>
      <c r="J590" s="136"/>
      <c r="M590" s="136"/>
      <c r="N590" s="136"/>
      <c r="O590" s="136"/>
    </row>
    <row r="591" spans="1:17">
      <c r="B591" s="167"/>
      <c r="C591" s="173"/>
      <c r="H591" s="132"/>
      <c r="I591" s="136"/>
      <c r="J591" s="136"/>
      <c r="M591" s="136"/>
      <c r="N591" s="136"/>
      <c r="O591" s="136"/>
    </row>
    <row r="592" spans="1:17">
      <c r="B592" s="167"/>
      <c r="C592" s="173"/>
      <c r="H592" s="132"/>
      <c r="I592" s="136"/>
      <c r="J592" s="136"/>
      <c r="M592" s="136"/>
      <c r="N592" s="136"/>
      <c r="O592" s="136"/>
    </row>
    <row r="593" spans="1:17">
      <c r="B593" s="167"/>
      <c r="H593" s="175"/>
      <c r="I593" s="136"/>
      <c r="J593" s="136"/>
      <c r="M593" s="136"/>
      <c r="N593" s="136"/>
      <c r="O593" s="136"/>
    </row>
    <row r="594" spans="1:17">
      <c r="B594" s="167"/>
      <c r="H594" s="175"/>
      <c r="I594" s="136"/>
      <c r="J594" s="136"/>
      <c r="M594" s="136"/>
      <c r="N594" s="136"/>
      <c r="O594" s="136"/>
    </row>
    <row r="595" spans="1:17">
      <c r="B595" s="167"/>
      <c r="C595" s="173"/>
      <c r="H595" s="132"/>
      <c r="I595" s="136"/>
      <c r="J595" s="136"/>
      <c r="M595" s="136"/>
      <c r="N595" s="136"/>
      <c r="O595" s="136"/>
    </row>
    <row r="596" spans="1:17">
      <c r="B596" s="167"/>
      <c r="H596" s="132"/>
      <c r="I596" s="136"/>
      <c r="J596" s="136"/>
      <c r="M596" s="136"/>
      <c r="N596" s="136"/>
      <c r="O596" s="136"/>
    </row>
    <row r="597" spans="1:17" s="5" customFormat="1">
      <c r="A597" s="6"/>
      <c r="B597" s="10"/>
      <c r="C597" s="2"/>
      <c r="D597" s="2"/>
      <c r="E597" s="133"/>
      <c r="F597" s="2"/>
      <c r="G597" s="105"/>
      <c r="H597" s="15"/>
      <c r="Q597" s="89"/>
    </row>
    <row r="598" spans="1:17" s="5" customFormat="1">
      <c r="A598" s="6"/>
      <c r="B598" s="10"/>
      <c r="C598" s="2"/>
      <c r="D598" s="2"/>
      <c r="E598" s="133"/>
      <c r="F598" s="2"/>
      <c r="G598" s="105"/>
      <c r="H598" s="15"/>
      <c r="Q598" s="89"/>
    </row>
    <row r="599" spans="1:17" s="5" customFormat="1">
      <c r="A599" s="6"/>
      <c r="B599" s="10"/>
      <c r="C599" s="4"/>
      <c r="D599" s="2"/>
      <c r="E599" s="133"/>
      <c r="F599" s="2"/>
      <c r="G599" s="105"/>
      <c r="H599" s="2"/>
      <c r="Q599" s="89"/>
    </row>
    <row r="600" spans="1:17" s="5" customFormat="1">
      <c r="A600" s="6"/>
      <c r="B600" s="10"/>
      <c r="C600" s="4"/>
      <c r="D600" s="2"/>
      <c r="E600" s="133"/>
      <c r="F600" s="2"/>
      <c r="G600" s="105"/>
      <c r="H600" s="2"/>
      <c r="Q600" s="89"/>
    </row>
    <row r="601" spans="1:17" s="5" customFormat="1">
      <c r="A601" s="6"/>
      <c r="B601" s="10"/>
      <c r="C601" s="2"/>
      <c r="D601" s="2"/>
      <c r="E601" s="133"/>
      <c r="F601" s="2"/>
      <c r="G601" s="105"/>
      <c r="H601" s="15"/>
      <c r="Q601" s="89"/>
    </row>
    <row r="602" spans="1:17" s="5" customFormat="1">
      <c r="A602" s="6"/>
      <c r="B602" s="10"/>
      <c r="C602" s="2"/>
      <c r="D602" s="2"/>
      <c r="E602" s="133"/>
      <c r="F602" s="2"/>
      <c r="G602" s="105"/>
      <c r="H602" s="15"/>
      <c r="Q602" s="89"/>
    </row>
    <row r="603" spans="1:17" s="5" customFormat="1">
      <c r="A603" s="6"/>
      <c r="B603" s="10"/>
      <c r="C603" s="76"/>
      <c r="D603" s="2"/>
      <c r="E603" s="133"/>
      <c r="F603" s="2"/>
      <c r="G603" s="105"/>
      <c r="H603" s="2"/>
      <c r="Q603" s="89"/>
    </row>
    <row r="604" spans="1:17" s="5" customFormat="1">
      <c r="A604" s="6"/>
      <c r="B604" s="10"/>
      <c r="C604" s="4"/>
      <c r="D604" s="2"/>
      <c r="E604" s="133"/>
      <c r="F604" s="2"/>
      <c r="G604" s="105"/>
      <c r="H604" s="2"/>
      <c r="Q604" s="89"/>
    </row>
    <row r="605" spans="1:17" s="5" customFormat="1">
      <c r="A605" s="6"/>
      <c r="B605" s="10"/>
      <c r="C605" s="2"/>
      <c r="D605" s="2"/>
      <c r="E605" s="133"/>
      <c r="F605" s="2"/>
      <c r="G605" s="105"/>
      <c r="H605" s="15"/>
      <c r="Q605" s="89"/>
    </row>
    <row r="606" spans="1:17" s="5" customFormat="1">
      <c r="A606" s="6"/>
      <c r="B606" s="10"/>
      <c r="C606" s="2"/>
      <c r="D606" s="2"/>
      <c r="E606" s="133"/>
      <c r="F606" s="2"/>
      <c r="G606" s="105"/>
      <c r="H606" s="15"/>
      <c r="Q606" s="89"/>
    </row>
    <row r="607" spans="1:17" s="5" customFormat="1">
      <c r="A607" s="6"/>
      <c r="B607" s="10"/>
      <c r="C607" s="4"/>
      <c r="D607" s="2"/>
      <c r="E607" s="133"/>
      <c r="F607" s="2"/>
      <c r="G607" s="105"/>
      <c r="H607" s="2"/>
      <c r="Q607" s="89"/>
    </row>
    <row r="608" spans="1:17" s="5" customFormat="1">
      <c r="A608" s="6"/>
      <c r="B608" s="10"/>
      <c r="C608" s="4"/>
      <c r="D608" s="2"/>
      <c r="E608" s="133"/>
      <c r="F608" s="2"/>
      <c r="G608" s="105"/>
      <c r="H608" s="2"/>
      <c r="Q608" s="89"/>
    </row>
    <row r="609" spans="1:17" s="5" customFormat="1" ht="80.25" customHeight="1">
      <c r="A609" s="6"/>
      <c r="B609" s="10"/>
      <c r="C609" s="2"/>
      <c r="D609" s="2"/>
      <c r="E609" s="133"/>
      <c r="F609" s="2"/>
      <c r="G609" s="105"/>
      <c r="H609" s="15"/>
      <c r="Q609" s="89"/>
    </row>
    <row r="610" spans="1:17" s="5" customFormat="1">
      <c r="A610" s="6"/>
      <c r="B610" s="10"/>
      <c r="C610" s="2"/>
      <c r="D610" s="2"/>
      <c r="E610" s="133"/>
      <c r="F610" s="2"/>
      <c r="G610" s="105"/>
      <c r="H610" s="15"/>
      <c r="Q610" s="89"/>
    </row>
    <row r="611" spans="1:17" s="5" customFormat="1">
      <c r="A611" s="6"/>
      <c r="B611" s="10"/>
      <c r="C611" s="4"/>
      <c r="D611" s="2"/>
      <c r="E611" s="133"/>
      <c r="F611" s="2"/>
      <c r="G611" s="105"/>
      <c r="H611" s="2"/>
      <c r="Q611" s="89"/>
    </row>
    <row r="612" spans="1:17" s="5" customFormat="1">
      <c r="A612" s="6"/>
      <c r="B612" s="10"/>
      <c r="C612" s="2"/>
      <c r="D612" s="2"/>
      <c r="E612" s="133"/>
      <c r="F612" s="2"/>
      <c r="G612" s="105"/>
      <c r="H612" s="2"/>
      <c r="Q612" s="89"/>
    </row>
    <row r="613" spans="1:17" s="5" customFormat="1" ht="81.2" customHeight="1">
      <c r="A613" s="6"/>
      <c r="B613" s="10"/>
      <c r="C613" s="2"/>
      <c r="D613" s="2"/>
      <c r="E613" s="133"/>
      <c r="F613" s="2"/>
      <c r="G613" s="105"/>
      <c r="H613" s="15"/>
      <c r="Q613" s="89"/>
    </row>
    <row r="614" spans="1:17" s="5" customFormat="1">
      <c r="A614" s="6"/>
      <c r="B614" s="10"/>
      <c r="C614" s="2"/>
      <c r="D614" s="2"/>
      <c r="E614" s="133"/>
      <c r="F614" s="2"/>
      <c r="G614" s="105"/>
      <c r="H614" s="15"/>
      <c r="Q614" s="89"/>
    </row>
    <row r="615" spans="1:17" s="5" customFormat="1">
      <c r="A615" s="6"/>
      <c r="B615" s="10"/>
      <c r="C615" s="4"/>
      <c r="D615" s="2"/>
      <c r="E615" s="133"/>
      <c r="F615" s="2"/>
      <c r="G615" s="105"/>
      <c r="H615" s="2"/>
      <c r="Q615" s="89"/>
    </row>
    <row r="616" spans="1:17" s="5" customFormat="1">
      <c r="A616" s="6"/>
      <c r="B616" s="10"/>
      <c r="C616" s="4"/>
      <c r="D616" s="2"/>
      <c r="E616" s="133"/>
      <c r="F616" s="2"/>
      <c r="G616" s="105"/>
      <c r="H616" s="2"/>
      <c r="Q616" s="89"/>
    </row>
    <row r="617" spans="1:17" s="5" customFormat="1">
      <c r="A617" s="6"/>
      <c r="B617" s="10"/>
      <c r="C617" s="2"/>
      <c r="D617" s="2"/>
      <c r="E617" s="133"/>
      <c r="F617" s="2"/>
      <c r="G617" s="105"/>
      <c r="H617" s="15"/>
      <c r="Q617" s="89"/>
    </row>
    <row r="618" spans="1:17" s="5" customFormat="1">
      <c r="A618" s="6"/>
      <c r="B618" s="10"/>
      <c r="C618" s="2"/>
      <c r="D618" s="2"/>
      <c r="E618" s="133"/>
      <c r="F618" s="2"/>
      <c r="G618" s="105"/>
      <c r="H618" s="15"/>
      <c r="Q618" s="89"/>
    </row>
    <row r="619" spans="1:17" s="5" customFormat="1">
      <c r="A619" s="6"/>
      <c r="B619" s="10"/>
      <c r="C619" s="4"/>
      <c r="D619" s="2"/>
      <c r="E619" s="133"/>
      <c r="F619" s="2"/>
      <c r="G619" s="105"/>
      <c r="H619" s="2"/>
      <c r="K619" s="77"/>
      <c r="Q619" s="89"/>
    </row>
    <row r="620" spans="1:17" s="5" customFormat="1">
      <c r="A620" s="6"/>
      <c r="B620" s="10"/>
      <c r="C620" s="4"/>
      <c r="D620" s="2"/>
      <c r="E620" s="133"/>
      <c r="F620" s="2"/>
      <c r="G620" s="105"/>
      <c r="H620" s="2"/>
      <c r="K620" s="77"/>
      <c r="Q620" s="89"/>
    </row>
    <row r="621" spans="1:17" s="5" customFormat="1">
      <c r="A621" s="6"/>
      <c r="B621" s="10"/>
      <c r="C621" s="2"/>
      <c r="D621" s="2"/>
      <c r="E621" s="133"/>
      <c r="F621" s="2"/>
      <c r="G621" s="105"/>
      <c r="H621" s="15"/>
      <c r="J621" s="10"/>
      <c r="Q621" s="89"/>
    </row>
    <row r="622" spans="1:17" s="5" customFormat="1">
      <c r="A622" s="6"/>
      <c r="B622" s="10"/>
      <c r="C622" s="2"/>
      <c r="D622" s="2"/>
      <c r="E622" s="133"/>
      <c r="F622" s="2"/>
      <c r="G622" s="105"/>
      <c r="H622" s="15"/>
      <c r="Q622" s="89"/>
    </row>
    <row r="623" spans="1:17" s="5" customFormat="1">
      <c r="A623" s="6"/>
      <c r="B623" s="10"/>
      <c r="C623" s="4"/>
      <c r="D623" s="2"/>
      <c r="E623" s="133"/>
      <c r="F623" s="2"/>
      <c r="G623" s="105"/>
      <c r="H623" s="2"/>
      <c r="K623" s="77"/>
      <c r="Q623" s="89"/>
    </row>
    <row r="624" spans="1:17" s="5" customFormat="1">
      <c r="A624" s="6"/>
      <c r="B624" s="10"/>
      <c r="C624" s="4"/>
      <c r="D624" s="2"/>
      <c r="E624" s="133"/>
      <c r="F624" s="2"/>
      <c r="G624" s="105"/>
      <c r="H624" s="2"/>
      <c r="K624" s="77"/>
      <c r="Q624" s="89"/>
    </row>
    <row r="625" spans="1:17" s="5" customFormat="1">
      <c r="A625" s="6"/>
      <c r="B625" s="10"/>
      <c r="C625" s="2"/>
      <c r="D625" s="2"/>
      <c r="E625" s="133"/>
      <c r="F625" s="2"/>
      <c r="G625" s="105"/>
      <c r="H625" s="15"/>
      <c r="J625" s="10"/>
      <c r="Q625" s="89"/>
    </row>
    <row r="626" spans="1:17" s="5" customFormat="1">
      <c r="A626" s="6"/>
      <c r="B626" s="10"/>
      <c r="C626" s="2"/>
      <c r="D626" s="2"/>
      <c r="E626" s="133"/>
      <c r="F626" s="2"/>
      <c r="G626" s="105"/>
      <c r="H626" s="15"/>
      <c r="Q626" s="89"/>
    </row>
    <row r="627" spans="1:17" s="5" customFormat="1">
      <c r="A627" s="6"/>
      <c r="B627" s="10"/>
      <c r="C627" s="4"/>
      <c r="D627" s="2"/>
      <c r="E627" s="133"/>
      <c r="F627" s="2"/>
      <c r="G627" s="105"/>
      <c r="H627" s="2"/>
      <c r="K627" s="77"/>
      <c r="Q627" s="89"/>
    </row>
    <row r="628" spans="1:17" s="5" customFormat="1">
      <c r="A628" s="6"/>
      <c r="B628" s="10"/>
      <c r="C628" s="4"/>
      <c r="D628" s="2"/>
      <c r="E628" s="133"/>
      <c r="F628" s="2"/>
      <c r="G628" s="105"/>
      <c r="H628" s="2"/>
      <c r="K628" s="77"/>
      <c r="Q628" s="89"/>
    </row>
    <row r="629" spans="1:17" s="5" customFormat="1" ht="96.75" customHeight="1">
      <c r="A629" s="6"/>
      <c r="B629" s="10"/>
      <c r="C629" s="2"/>
      <c r="D629" s="2"/>
      <c r="E629" s="133"/>
      <c r="F629" s="2"/>
      <c r="G629" s="105"/>
      <c r="H629" s="15"/>
      <c r="Q629" s="89"/>
    </row>
    <row r="630" spans="1:17" s="5" customFormat="1">
      <c r="A630" s="6"/>
      <c r="B630" s="10"/>
      <c r="C630" s="2"/>
      <c r="D630" s="2"/>
      <c r="E630" s="133"/>
      <c r="F630" s="2"/>
      <c r="G630" s="105"/>
      <c r="H630" s="15"/>
      <c r="Q630" s="89"/>
    </row>
    <row r="631" spans="1:17" s="5" customFormat="1">
      <c r="A631" s="6"/>
      <c r="B631" s="10"/>
      <c r="C631" s="4"/>
      <c r="D631" s="2"/>
      <c r="E631" s="133"/>
      <c r="F631" s="2"/>
      <c r="G631" s="105"/>
      <c r="H631" s="2"/>
      <c r="K631" s="77"/>
      <c r="Q631" s="89"/>
    </row>
    <row r="632" spans="1:17" s="5" customFormat="1">
      <c r="A632" s="6"/>
      <c r="B632" s="10"/>
      <c r="C632" s="2"/>
      <c r="D632" s="2"/>
      <c r="E632" s="133"/>
      <c r="F632" s="2"/>
      <c r="G632" s="105"/>
      <c r="H632" s="2"/>
      <c r="K632" s="77"/>
      <c r="Q632" s="89"/>
    </row>
    <row r="633" spans="1:17" s="5" customFormat="1" ht="105" customHeight="1">
      <c r="A633" s="6"/>
      <c r="B633" s="10"/>
      <c r="C633" s="2"/>
      <c r="D633" s="2"/>
      <c r="E633" s="133"/>
      <c r="F633" s="2"/>
      <c r="G633" s="105"/>
      <c r="H633" s="15"/>
      <c r="Q633" s="89"/>
    </row>
    <row r="634" spans="1:17" s="5" customFormat="1">
      <c r="A634" s="6"/>
      <c r="B634" s="10"/>
      <c r="C634" s="2"/>
      <c r="D634" s="2"/>
      <c r="E634" s="133"/>
      <c r="F634" s="2"/>
      <c r="G634" s="105"/>
      <c r="H634" s="15"/>
      <c r="Q634" s="89"/>
    </row>
    <row r="635" spans="1:17" s="5" customFormat="1">
      <c r="A635" s="6"/>
      <c r="B635" s="10"/>
      <c r="C635" s="4"/>
      <c r="D635" s="2"/>
      <c r="E635" s="133"/>
      <c r="F635" s="2"/>
      <c r="G635" s="105"/>
      <c r="H635" s="2"/>
      <c r="K635" s="77"/>
      <c r="Q635" s="89"/>
    </row>
    <row r="636" spans="1:17">
      <c r="B636" s="167"/>
      <c r="H636" s="175"/>
      <c r="I636" s="136"/>
      <c r="J636" s="136"/>
      <c r="M636" s="136"/>
      <c r="N636" s="136"/>
      <c r="O636" s="136"/>
    </row>
    <row r="637" spans="1:17" s="5" customFormat="1">
      <c r="A637" s="6"/>
      <c r="B637" s="10"/>
      <c r="C637" s="2"/>
      <c r="D637" s="2"/>
      <c r="E637" s="133"/>
      <c r="F637" s="2"/>
      <c r="G637" s="105"/>
      <c r="H637" s="15"/>
      <c r="Q637" s="89"/>
    </row>
    <row r="638" spans="1:17" s="5" customFormat="1">
      <c r="A638" s="6"/>
      <c r="B638" s="10"/>
      <c r="C638" s="2"/>
      <c r="D638" s="2"/>
      <c r="E638" s="133"/>
      <c r="F638" s="2"/>
      <c r="G638" s="105"/>
      <c r="H638" s="15"/>
      <c r="Q638" s="89"/>
    </row>
    <row r="639" spans="1:17" s="5" customFormat="1">
      <c r="A639" s="6"/>
      <c r="B639" s="10"/>
      <c r="C639" s="76"/>
      <c r="D639" s="2"/>
      <c r="E639" s="133"/>
      <c r="F639" s="2"/>
      <c r="G639" s="105"/>
      <c r="H639" s="2"/>
      <c r="Q639" s="89"/>
    </row>
    <row r="640" spans="1:17" s="5" customFormat="1">
      <c r="A640" s="6"/>
      <c r="B640" s="10"/>
      <c r="C640" s="76"/>
      <c r="D640" s="2"/>
      <c r="E640" s="133"/>
      <c r="F640" s="2"/>
      <c r="G640" s="105"/>
      <c r="H640" s="2"/>
      <c r="Q640" s="89"/>
    </row>
    <row r="641" spans="1:17" s="5" customFormat="1">
      <c r="A641" s="6"/>
      <c r="B641" s="10"/>
      <c r="C641" s="2"/>
      <c r="D641" s="2"/>
      <c r="E641" s="133"/>
      <c r="F641" s="2"/>
      <c r="G641" s="105"/>
      <c r="H641" s="15"/>
      <c r="Q641" s="89"/>
    </row>
    <row r="642" spans="1:17" s="5" customFormat="1">
      <c r="A642" s="6"/>
      <c r="B642" s="10"/>
      <c r="C642" s="2"/>
      <c r="D642" s="2"/>
      <c r="E642" s="133"/>
      <c r="F642" s="2"/>
      <c r="G642" s="105"/>
      <c r="H642" s="15"/>
      <c r="Q642" s="89"/>
    </row>
    <row r="643" spans="1:17" s="5" customFormat="1">
      <c r="A643" s="6"/>
      <c r="B643" s="10"/>
      <c r="C643" s="76"/>
      <c r="D643" s="2"/>
      <c r="E643" s="133"/>
      <c r="F643" s="2"/>
      <c r="G643" s="105"/>
      <c r="H643" s="2"/>
      <c r="Q643" s="89"/>
    </row>
    <row r="644" spans="1:17" s="5" customFormat="1">
      <c r="A644" s="6"/>
      <c r="B644" s="10"/>
      <c r="C644" s="75"/>
      <c r="D644" s="2"/>
      <c r="E644" s="133"/>
      <c r="F644" s="2"/>
      <c r="G644" s="105"/>
      <c r="H644" s="2"/>
      <c r="Q644" s="89"/>
    </row>
    <row r="645" spans="1:17" s="5" customFormat="1" ht="92.25" customHeight="1">
      <c r="A645" s="6"/>
      <c r="B645" s="10"/>
      <c r="C645" s="2"/>
      <c r="D645" s="2"/>
      <c r="E645" s="133"/>
      <c r="F645" s="2"/>
      <c r="G645" s="105"/>
      <c r="H645" s="15"/>
      <c r="Q645" s="89"/>
    </row>
    <row r="646" spans="1:17" s="5" customFormat="1">
      <c r="A646" s="6"/>
      <c r="B646" s="10"/>
      <c r="C646" s="2"/>
      <c r="D646" s="2"/>
      <c r="E646" s="133"/>
      <c r="F646" s="2"/>
      <c r="G646" s="105"/>
      <c r="H646" s="15"/>
      <c r="Q646" s="89"/>
    </row>
    <row r="647" spans="1:17" s="5" customFormat="1">
      <c r="A647" s="6"/>
      <c r="B647" s="10"/>
      <c r="C647" s="76"/>
      <c r="D647" s="2"/>
      <c r="E647" s="133"/>
      <c r="F647" s="2"/>
      <c r="G647" s="105"/>
      <c r="H647" s="2"/>
      <c r="Q647" s="89"/>
    </row>
    <row r="648" spans="1:17" s="5" customFormat="1">
      <c r="A648" s="6"/>
      <c r="B648" s="10"/>
      <c r="C648" s="76"/>
      <c r="D648" s="2"/>
      <c r="E648" s="133"/>
      <c r="F648" s="2"/>
      <c r="G648" s="105"/>
      <c r="H648" s="2"/>
      <c r="Q648" s="89"/>
    </row>
    <row r="649" spans="1:17" s="5" customFormat="1">
      <c r="A649" s="6"/>
      <c r="B649" s="10"/>
      <c r="C649" s="2"/>
      <c r="D649" s="2"/>
      <c r="E649" s="133"/>
      <c r="F649" s="2"/>
      <c r="G649" s="105"/>
      <c r="H649" s="15"/>
      <c r="Q649" s="89"/>
    </row>
    <row r="650" spans="1:17" s="5" customFormat="1">
      <c r="A650" s="6"/>
      <c r="B650" s="10"/>
      <c r="C650" s="2"/>
      <c r="D650" s="2"/>
      <c r="E650" s="133"/>
      <c r="F650" s="2"/>
      <c r="G650" s="105"/>
      <c r="H650" s="15"/>
      <c r="Q650" s="89"/>
    </row>
    <row r="651" spans="1:17" s="5" customFormat="1">
      <c r="A651" s="6"/>
      <c r="B651" s="10"/>
      <c r="C651" s="76"/>
      <c r="D651" s="2"/>
      <c r="E651" s="133"/>
      <c r="F651" s="2"/>
      <c r="G651" s="105"/>
      <c r="H651" s="2"/>
      <c r="Q651" s="89"/>
    </row>
    <row r="652" spans="1:17" s="5" customFormat="1">
      <c r="A652" s="6"/>
      <c r="B652" s="10"/>
      <c r="C652" s="76"/>
      <c r="D652" s="2"/>
      <c r="E652" s="133"/>
      <c r="F652" s="2"/>
      <c r="G652" s="105"/>
      <c r="H652" s="2"/>
      <c r="Q652" s="89"/>
    </row>
    <row r="653" spans="1:17" s="5" customFormat="1">
      <c r="A653" s="6"/>
      <c r="B653" s="10"/>
      <c r="C653" s="2"/>
      <c r="D653" s="2"/>
      <c r="E653" s="133"/>
      <c r="F653" s="2"/>
      <c r="G653" s="105"/>
      <c r="H653" s="15"/>
      <c r="Q653" s="89"/>
    </row>
    <row r="654" spans="1:17" s="5" customFormat="1">
      <c r="A654" s="6"/>
      <c r="B654" s="10"/>
      <c r="C654" s="2"/>
      <c r="D654" s="2"/>
      <c r="E654" s="133"/>
      <c r="F654" s="2"/>
      <c r="G654" s="105"/>
      <c r="H654" s="15"/>
      <c r="Q654" s="89"/>
    </row>
    <row r="655" spans="1:17" s="5" customFormat="1">
      <c r="A655" s="6"/>
      <c r="B655" s="10"/>
      <c r="C655" s="76"/>
      <c r="D655" s="2"/>
      <c r="E655" s="133"/>
      <c r="F655" s="2"/>
      <c r="G655" s="105"/>
      <c r="H655" s="2"/>
      <c r="Q655" s="94"/>
    </row>
    <row r="656" spans="1:17" s="5" customFormat="1">
      <c r="A656" s="6"/>
      <c r="B656" s="10"/>
      <c r="C656" s="76"/>
      <c r="D656" s="2"/>
      <c r="E656" s="133"/>
      <c r="F656" s="2"/>
      <c r="G656" s="105"/>
      <c r="H656" s="2"/>
      <c r="Q656" s="94"/>
    </row>
    <row r="657" spans="1:17" s="5" customFormat="1">
      <c r="A657" s="6"/>
      <c r="B657" s="10"/>
      <c r="C657" s="2"/>
      <c r="D657" s="2"/>
      <c r="E657" s="133"/>
      <c r="F657" s="2"/>
      <c r="G657" s="105"/>
      <c r="H657" s="15"/>
      <c r="Q657" s="89"/>
    </row>
    <row r="658" spans="1:17" s="5" customFormat="1">
      <c r="A658" s="6"/>
      <c r="B658" s="10"/>
      <c r="C658" s="2"/>
      <c r="D658" s="2"/>
      <c r="E658" s="133"/>
      <c r="F658" s="2"/>
      <c r="G658" s="105"/>
      <c r="H658" s="15"/>
      <c r="Q658" s="89"/>
    </row>
    <row r="659" spans="1:17" s="5" customFormat="1">
      <c r="A659" s="6"/>
      <c r="B659" s="10"/>
      <c r="C659" s="76"/>
      <c r="D659" s="2"/>
      <c r="E659" s="133"/>
      <c r="F659" s="2"/>
      <c r="G659" s="105"/>
      <c r="H659" s="2"/>
      <c r="Q659" s="89"/>
    </row>
    <row r="660" spans="1:17">
      <c r="B660" s="167"/>
      <c r="H660" s="175"/>
      <c r="I660" s="136"/>
      <c r="J660" s="136"/>
      <c r="M660" s="136"/>
      <c r="N660" s="136"/>
      <c r="O660" s="136"/>
    </row>
    <row r="661" spans="1:17">
      <c r="B661" s="167"/>
      <c r="H661" s="175"/>
    </row>
    <row r="662" spans="1:17">
      <c r="B662" s="167"/>
      <c r="H662" s="175"/>
    </row>
    <row r="663" spans="1:17">
      <c r="B663" s="167"/>
      <c r="C663" s="173"/>
      <c r="H663" s="132"/>
      <c r="Q663" s="198"/>
    </row>
    <row r="664" spans="1:17">
      <c r="B664" s="167"/>
      <c r="H664" s="175"/>
      <c r="Q664" s="188"/>
    </row>
    <row r="665" spans="1:17">
      <c r="A665" s="200"/>
      <c r="B665" s="167"/>
      <c r="H665" s="175"/>
      <c r="Q665" s="188"/>
    </row>
    <row r="666" spans="1:17">
      <c r="B666" s="167"/>
      <c r="H666" s="175"/>
      <c r="Q666" s="188"/>
    </row>
    <row r="667" spans="1:17">
      <c r="B667" s="167"/>
      <c r="C667" s="173"/>
      <c r="H667" s="132"/>
      <c r="Q667" s="201"/>
    </row>
    <row r="668" spans="1:17">
      <c r="B668" s="167"/>
      <c r="H668" s="132"/>
      <c r="Q668" s="188"/>
    </row>
    <row r="669" spans="1:17">
      <c r="A669" s="200"/>
      <c r="B669" s="167"/>
      <c r="H669" s="175"/>
      <c r="Q669" s="188"/>
    </row>
    <row r="670" spans="1:17">
      <c r="B670" s="167"/>
      <c r="H670" s="175"/>
      <c r="Q670" s="188"/>
    </row>
    <row r="671" spans="1:17">
      <c r="B671" s="167"/>
      <c r="C671" s="173"/>
      <c r="H671" s="132"/>
      <c r="Q671" s="201"/>
    </row>
    <row r="672" spans="1:17">
      <c r="B672" s="167"/>
      <c r="H672" s="132"/>
      <c r="Q672" s="201"/>
    </row>
    <row r="673" spans="1:17">
      <c r="A673" s="200"/>
      <c r="B673" s="167"/>
      <c r="H673" s="175"/>
      <c r="Q673" s="188"/>
    </row>
    <row r="674" spans="1:17">
      <c r="B674" s="167"/>
      <c r="H674" s="175"/>
      <c r="Q674" s="188"/>
    </row>
    <row r="675" spans="1:17">
      <c r="B675" s="167"/>
      <c r="C675" s="173"/>
      <c r="H675" s="132"/>
      <c r="Q675" s="201"/>
    </row>
    <row r="676" spans="1:17">
      <c r="B676" s="167"/>
      <c r="C676" s="173"/>
      <c r="H676" s="132"/>
      <c r="Q676" s="201"/>
    </row>
    <row r="677" spans="1:17">
      <c r="B677" s="167"/>
      <c r="H677" s="175"/>
    </row>
    <row r="678" spans="1:17">
      <c r="B678" s="167"/>
      <c r="H678" s="149"/>
    </row>
    <row r="679" spans="1:17">
      <c r="B679" s="167"/>
      <c r="C679" s="173"/>
      <c r="H679" s="132"/>
    </row>
    <row r="680" spans="1:17">
      <c r="B680" s="167"/>
      <c r="H680" s="132"/>
    </row>
    <row r="681" spans="1:17">
      <c r="B681" s="167"/>
      <c r="H681" s="175"/>
    </row>
    <row r="682" spans="1:17">
      <c r="B682" s="167"/>
      <c r="H682" s="149"/>
    </row>
    <row r="683" spans="1:17">
      <c r="B683" s="167"/>
      <c r="C683" s="173"/>
      <c r="H683" s="132"/>
    </row>
    <row r="684" spans="1:17">
      <c r="B684" s="167"/>
      <c r="H684" s="175"/>
    </row>
    <row r="685" spans="1:17" s="5" customFormat="1">
      <c r="A685" s="6"/>
      <c r="B685" s="10"/>
      <c r="C685" s="2"/>
      <c r="D685" s="2"/>
      <c r="E685" s="133"/>
      <c r="F685" s="2"/>
      <c r="G685" s="105"/>
      <c r="H685" s="15"/>
      <c r="Q685" s="89"/>
    </row>
    <row r="686" spans="1:17" s="5" customFormat="1">
      <c r="A686" s="6"/>
      <c r="B686" s="10"/>
      <c r="C686" s="2"/>
      <c r="D686" s="2"/>
      <c r="E686" s="133"/>
      <c r="F686" s="2"/>
      <c r="G686" s="105"/>
      <c r="H686" s="15"/>
      <c r="Q686" s="89"/>
    </row>
    <row r="687" spans="1:17" s="5" customFormat="1">
      <c r="A687" s="6"/>
      <c r="B687" s="10"/>
      <c r="C687" s="4"/>
      <c r="D687" s="2"/>
      <c r="E687" s="133"/>
      <c r="F687" s="2"/>
      <c r="G687" s="105"/>
      <c r="H687" s="2"/>
      <c r="Q687" s="89"/>
    </row>
    <row r="688" spans="1:17" s="5" customFormat="1">
      <c r="A688" s="6"/>
      <c r="B688" s="10"/>
      <c r="C688" s="4"/>
      <c r="D688" s="2"/>
      <c r="E688" s="133"/>
      <c r="F688" s="2"/>
      <c r="G688" s="105"/>
      <c r="H688" s="2"/>
      <c r="Q688" s="89"/>
    </row>
    <row r="689" spans="1:17" s="5" customFormat="1">
      <c r="A689" s="6"/>
      <c r="B689" s="10"/>
      <c r="C689" s="2"/>
      <c r="D689" s="2"/>
      <c r="E689" s="133"/>
      <c r="F689" s="2"/>
      <c r="G689" s="105"/>
      <c r="H689" s="15"/>
      <c r="Q689" s="89"/>
    </row>
    <row r="690" spans="1:17" s="5" customFormat="1">
      <c r="A690" s="6"/>
      <c r="B690" s="10"/>
      <c r="C690" s="2"/>
      <c r="D690" s="2"/>
      <c r="E690" s="133"/>
      <c r="F690" s="2"/>
      <c r="G690" s="105"/>
      <c r="H690" s="15"/>
      <c r="Q690" s="89"/>
    </row>
    <row r="691" spans="1:17" s="5" customFormat="1">
      <c r="A691" s="6"/>
      <c r="B691" s="10"/>
      <c r="C691" s="4"/>
      <c r="D691" s="2"/>
      <c r="E691" s="133"/>
      <c r="F691" s="2"/>
      <c r="G691" s="105"/>
      <c r="H691" s="2"/>
      <c r="Q691" s="94"/>
    </row>
    <row r="692" spans="1:17" s="5" customFormat="1">
      <c r="A692" s="6"/>
      <c r="B692" s="10"/>
      <c r="C692" s="2"/>
      <c r="D692" s="2"/>
      <c r="E692" s="115"/>
      <c r="F692" s="2"/>
      <c r="G692" s="105"/>
      <c r="H692" s="15"/>
      <c r="Q692" s="89"/>
    </row>
    <row r="693" spans="1:17" s="178" customFormat="1" ht="12.75">
      <c r="A693" s="141"/>
      <c r="B693" s="167"/>
      <c r="C693" s="132"/>
      <c r="D693" s="132"/>
      <c r="E693" s="133"/>
      <c r="F693" s="132"/>
      <c r="G693" s="134"/>
      <c r="H693" s="175"/>
      <c r="I693" s="176"/>
      <c r="J693" s="177"/>
      <c r="M693" s="179"/>
      <c r="N693" s="179"/>
      <c r="O693" s="179"/>
      <c r="Q693" s="135"/>
    </row>
    <row r="694" spans="1:17">
      <c r="B694" s="167"/>
      <c r="C694" s="169"/>
      <c r="D694" s="169"/>
      <c r="E694" s="172"/>
      <c r="F694" s="169"/>
      <c r="G694" s="170"/>
      <c r="H694" s="178"/>
      <c r="Q694" s="171"/>
    </row>
    <row r="695" spans="1:17">
      <c r="B695" s="167"/>
      <c r="H695" s="132"/>
    </row>
    <row r="696" spans="1:17">
      <c r="B696" s="167"/>
      <c r="H696" s="175"/>
    </row>
    <row r="697" spans="1:17">
      <c r="B697" s="148"/>
      <c r="C697" s="163"/>
      <c r="D697" s="163"/>
      <c r="E697" s="164"/>
      <c r="F697" s="163"/>
      <c r="G697" s="151"/>
      <c r="Q697" s="166"/>
    </row>
    <row r="698" spans="1:17">
      <c r="B698" s="148"/>
      <c r="C698" s="163"/>
      <c r="D698" s="163"/>
      <c r="E698" s="164"/>
      <c r="F698" s="163"/>
      <c r="G698" s="151"/>
      <c r="Q698" s="166"/>
    </row>
    <row r="699" spans="1:17">
      <c r="A699" s="11"/>
      <c r="B699" s="9"/>
      <c r="C699" s="46"/>
      <c r="D699" s="7"/>
      <c r="E699" s="109"/>
      <c r="F699" s="7"/>
      <c r="G699" s="99"/>
      <c r="H699" s="132"/>
      <c r="Q699" s="91"/>
    </row>
    <row r="700" spans="1:17">
      <c r="H700" s="175"/>
    </row>
    <row r="701" spans="1:17">
      <c r="H701" s="175"/>
    </row>
    <row r="702" spans="1:17">
      <c r="H702" s="175"/>
    </row>
    <row r="703" spans="1:17">
      <c r="B703" s="167"/>
      <c r="C703" s="173"/>
      <c r="E703" s="135"/>
      <c r="H703" s="132"/>
    </row>
    <row r="704" spans="1:17">
      <c r="B704" s="167"/>
      <c r="C704" s="173"/>
      <c r="H704" s="132"/>
    </row>
    <row r="705" spans="1:17" s="5" customFormat="1">
      <c r="A705" s="6"/>
      <c r="B705" s="3"/>
      <c r="C705" s="2"/>
      <c r="D705" s="2"/>
      <c r="E705" s="133"/>
      <c r="F705" s="2"/>
      <c r="G705" s="105"/>
      <c r="H705" s="15"/>
      <c r="I705" s="25"/>
      <c r="J705" s="21"/>
      <c r="M705" s="29"/>
      <c r="N705" s="29"/>
      <c r="O705" s="29"/>
      <c r="Q705" s="89"/>
    </row>
    <row r="706" spans="1:17" s="5" customFormat="1">
      <c r="A706" s="6"/>
      <c r="B706" s="3"/>
      <c r="C706" s="2"/>
      <c r="D706" s="2"/>
      <c r="E706" s="133"/>
      <c r="F706" s="2"/>
      <c r="G706" s="105"/>
      <c r="H706" s="15"/>
      <c r="I706" s="25"/>
      <c r="J706" s="21"/>
      <c r="M706" s="29"/>
      <c r="N706" s="29"/>
      <c r="O706" s="29"/>
      <c r="Q706" s="89"/>
    </row>
    <row r="707" spans="1:17" s="5" customFormat="1">
      <c r="A707" s="6"/>
      <c r="B707" s="10"/>
      <c r="C707" s="74"/>
      <c r="D707" s="2"/>
      <c r="E707" s="133"/>
      <c r="F707" s="2"/>
      <c r="G707" s="105"/>
      <c r="H707" s="2"/>
      <c r="I707" s="25"/>
      <c r="J707" s="21"/>
      <c r="M707" s="29"/>
      <c r="N707" s="29"/>
      <c r="O707" s="29"/>
      <c r="Q707" s="89"/>
    </row>
    <row r="708" spans="1:17">
      <c r="H708" s="175"/>
    </row>
    <row r="709" spans="1:17">
      <c r="H709" s="175"/>
    </row>
    <row r="710" spans="1:17">
      <c r="H710" s="175"/>
    </row>
    <row r="711" spans="1:17">
      <c r="B711" s="167"/>
      <c r="C711" s="173"/>
      <c r="H711" s="132"/>
    </row>
    <row r="712" spans="1:17">
      <c r="H712" s="175"/>
    </row>
    <row r="713" spans="1:17">
      <c r="H713" s="175"/>
    </row>
    <row r="714" spans="1:17">
      <c r="H714" s="175"/>
    </row>
    <row r="715" spans="1:17">
      <c r="B715" s="167"/>
      <c r="C715" s="173"/>
      <c r="H715" s="132"/>
    </row>
    <row r="716" spans="1:17">
      <c r="H716" s="175"/>
    </row>
    <row r="717" spans="1:17">
      <c r="A717" s="147"/>
      <c r="B717" s="9"/>
      <c r="C717" s="163"/>
      <c r="D717" s="163"/>
      <c r="E717" s="164"/>
      <c r="F717" s="163"/>
      <c r="G717" s="151"/>
      <c r="Q717" s="166"/>
    </row>
    <row r="718" spans="1:17">
      <c r="H718" s="175"/>
    </row>
    <row r="719" spans="1:17">
      <c r="H719" s="175"/>
    </row>
  </sheetData>
  <sheetProtection selectLockedCells="1"/>
  <mergeCells count="3">
    <mergeCell ref="D24:G24"/>
    <mergeCell ref="D30:G30"/>
    <mergeCell ref="D25:G25"/>
  </mergeCells>
  <conditionalFormatting sqref="C43:G69 C73:G75 C77:G77 C79:G109 C113:G121 C123:G137 G141 G143">
    <cfRule type="cellIs" dxfId="0" priority="8" stopIfTrue="1" operator="greaterThan">
      <formula>0</formula>
    </cfRule>
  </conditionalFormatting>
  <pageMargins left="1.1023622047244095" right="0.35433070866141736" top="0.59055118110236227" bottom="0.59055118110236227" header="0.39370078740157483" footer="0.39370078740157483"/>
  <pageSetup paperSize="9" orientation="portrait" useFirstPageNumber="1" r:id="rId1"/>
  <headerFooter alignWithMargins="0">
    <oddHeader>&amp;R&amp;"Arial,Navadno"&amp;9TLAČNI VOD TPV3</oddHeader>
    <oddFooter>&amp;C&amp;"Arial,Navadno"&amp;10&amp;P</oddFooter>
  </headerFooter>
  <rowBreaks count="4" manualBreakCount="4">
    <brk id="38" max="6" man="1"/>
    <brk id="109" max="6" man="1"/>
    <brk id="121" max="6" man="1"/>
    <brk id="137"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922D7-EE12-436B-BBA6-E3B1B7C5C56D}">
  <dimension ref="B2:G18"/>
  <sheetViews>
    <sheetView tabSelected="1" workbookViewId="0">
      <selection activeCell="J17" sqref="J17"/>
    </sheetView>
  </sheetViews>
  <sheetFormatPr defaultRowHeight="15.75"/>
  <cols>
    <col min="7" max="7" width="9.33203125" bestFit="1" customWidth="1"/>
  </cols>
  <sheetData>
    <row r="2" spans="2:7" ht="18.75">
      <c r="B2" s="464" t="s">
        <v>396</v>
      </c>
      <c r="C2" s="464"/>
      <c r="D2" s="464"/>
      <c r="E2" s="464"/>
      <c r="F2" s="464"/>
      <c r="G2" s="464"/>
    </row>
    <row r="3" spans="2:7" ht="18">
      <c r="B3" s="447"/>
      <c r="C3" s="447"/>
      <c r="D3" s="447"/>
      <c r="E3" s="447"/>
      <c r="F3" s="447"/>
      <c r="G3" s="447"/>
    </row>
    <row r="4" spans="2:7" ht="18">
      <c r="B4" s="447"/>
      <c r="C4" s="447"/>
      <c r="D4" s="447"/>
      <c r="E4" s="447"/>
      <c r="F4" s="447"/>
      <c r="G4" s="447"/>
    </row>
    <row r="5" spans="2:7">
      <c r="B5" s="461"/>
      <c r="C5" s="461"/>
      <c r="D5" s="448"/>
      <c r="E5" s="448"/>
      <c r="F5" s="448"/>
      <c r="G5" s="448"/>
    </row>
    <row r="6" spans="2:7">
      <c r="B6" s="465" t="s">
        <v>394</v>
      </c>
      <c r="C6" s="465"/>
      <c r="D6" s="465"/>
      <c r="E6" s="465"/>
      <c r="F6" s="465"/>
      <c r="G6" s="449"/>
    </row>
    <row r="7" spans="2:7">
      <c r="B7" s="466"/>
      <c r="C7" s="466"/>
      <c r="D7" s="466"/>
      <c r="E7" s="466"/>
      <c r="F7" s="466"/>
      <c r="G7" s="466"/>
    </row>
    <row r="8" spans="2:7">
      <c r="B8" s="448"/>
      <c r="C8" s="448"/>
      <c r="D8" s="448"/>
      <c r="E8" s="448"/>
      <c r="F8" s="448"/>
      <c r="G8" s="448"/>
    </row>
    <row r="9" spans="2:7">
      <c r="B9" s="450" t="s">
        <v>27</v>
      </c>
      <c r="C9" s="467" t="s">
        <v>400</v>
      </c>
      <c r="D9" s="467"/>
      <c r="E9" s="467"/>
      <c r="F9" s="467"/>
      <c r="G9" s="452">
        <f>'GD VODOVOD'!F9</f>
        <v>0</v>
      </c>
    </row>
    <row r="10" spans="2:7">
      <c r="B10" s="448"/>
      <c r="C10" s="448"/>
      <c r="D10" s="448"/>
      <c r="E10" s="448"/>
      <c r="F10" s="448"/>
      <c r="G10" s="453"/>
    </row>
    <row r="11" spans="2:7">
      <c r="B11" s="454" t="s">
        <v>32</v>
      </c>
      <c r="C11" s="467" t="s">
        <v>401</v>
      </c>
      <c r="D11" s="467"/>
      <c r="E11" s="467"/>
      <c r="F11" s="467"/>
      <c r="G11" s="452">
        <f>'GD CESTA'!F9</f>
        <v>0</v>
      </c>
    </row>
    <row r="12" spans="2:7" ht="16.5" thickBot="1">
      <c r="B12" s="455"/>
      <c r="C12" s="463"/>
      <c r="D12" s="463"/>
      <c r="E12" s="463"/>
      <c r="F12" s="463"/>
      <c r="G12" s="456"/>
    </row>
    <row r="13" spans="2:7">
      <c r="B13" s="454"/>
      <c r="C13" s="451"/>
      <c r="D13" s="451"/>
      <c r="E13" s="451"/>
      <c r="F13" s="451"/>
      <c r="G13" s="452"/>
    </row>
    <row r="14" spans="2:7">
      <c r="B14" s="450"/>
      <c r="C14" s="461" t="s">
        <v>397</v>
      </c>
      <c r="D14" s="461"/>
      <c r="E14" s="450"/>
      <c r="F14" s="448"/>
      <c r="G14" s="457">
        <f>SUM(G9:G12)</f>
        <v>0</v>
      </c>
    </row>
    <row r="15" spans="2:7">
      <c r="B15" s="448"/>
      <c r="C15" s="448"/>
      <c r="D15" s="448"/>
      <c r="E15" s="448"/>
      <c r="F15" s="448"/>
      <c r="G15" s="448"/>
    </row>
    <row r="16" spans="2:7">
      <c r="B16" s="450"/>
      <c r="C16" s="461" t="s">
        <v>398</v>
      </c>
      <c r="D16" s="461"/>
      <c r="E16" s="450"/>
      <c r="F16" s="448"/>
      <c r="G16" s="457">
        <f>0.22*G14</f>
        <v>0</v>
      </c>
    </row>
    <row r="17" spans="2:7">
      <c r="B17" s="448"/>
      <c r="C17" s="448"/>
      <c r="D17" s="448"/>
      <c r="E17" s="448"/>
      <c r="F17" s="448"/>
      <c r="G17" s="448"/>
    </row>
    <row r="18" spans="2:7" ht="18">
      <c r="B18" s="450"/>
      <c r="C18" s="462" t="s">
        <v>399</v>
      </c>
      <c r="D18" s="462"/>
      <c r="E18" s="462"/>
      <c r="F18" s="448"/>
      <c r="G18" s="457">
        <f>G14+G16</f>
        <v>0</v>
      </c>
    </row>
  </sheetData>
  <mergeCells count="10">
    <mergeCell ref="C16:D16"/>
    <mergeCell ref="C18:E18"/>
    <mergeCell ref="C12:F12"/>
    <mergeCell ref="C14:D14"/>
    <mergeCell ref="B2:G2"/>
    <mergeCell ref="B5:C5"/>
    <mergeCell ref="B6:F6"/>
    <mergeCell ref="B7:G7"/>
    <mergeCell ref="C9:F9"/>
    <mergeCell ref="C11:F11"/>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B312A-45E4-4023-A20B-A342FDA330A3}">
  <dimension ref="A1:F75"/>
  <sheetViews>
    <sheetView view="pageLayout" topLeftCell="A67" zoomScale="130" zoomScaleNormal="130" zoomScaleSheetLayoutView="145" zoomScalePageLayoutView="130" workbookViewId="0">
      <selection activeCell="E31" sqref="E31"/>
    </sheetView>
  </sheetViews>
  <sheetFormatPr defaultRowHeight="15.75"/>
  <cols>
    <col min="1" max="1" width="4.77734375" customWidth="1"/>
    <col min="2" max="2" width="32.109375" customWidth="1"/>
    <col min="3" max="3" width="5.44140625" customWidth="1"/>
    <col min="4" max="4" width="7.44140625" customWidth="1"/>
    <col min="5" max="5" width="10.5546875" customWidth="1"/>
    <col min="6" max="6" width="13" customWidth="1"/>
  </cols>
  <sheetData>
    <row r="1" spans="1:6">
      <c r="A1" s="335"/>
      <c r="B1" s="343"/>
      <c r="C1" s="344"/>
      <c r="D1" s="344"/>
      <c r="E1" s="344"/>
      <c r="F1" s="345"/>
    </row>
    <row r="2" spans="1:6">
      <c r="A2" s="342"/>
      <c r="B2" s="469" t="s">
        <v>394</v>
      </c>
      <c r="C2" s="469"/>
      <c r="D2" s="469"/>
      <c r="E2" s="469"/>
      <c r="F2" s="340"/>
    </row>
    <row r="3" spans="1:6">
      <c r="A3" s="470"/>
      <c r="B3" s="470"/>
      <c r="C3" s="470"/>
      <c r="D3" s="470"/>
      <c r="E3" s="470"/>
      <c r="F3" s="470"/>
    </row>
    <row r="4" spans="1:6">
      <c r="A4" s="326"/>
      <c r="B4" s="357"/>
      <c r="C4" s="346"/>
      <c r="D4" s="347"/>
      <c r="E4" s="347"/>
      <c r="F4" s="348"/>
    </row>
    <row r="5" spans="1:6">
      <c r="A5" s="326"/>
      <c r="B5" s="357"/>
      <c r="C5" s="346"/>
      <c r="D5" s="347"/>
      <c r="E5" s="347"/>
      <c r="F5" s="348"/>
    </row>
    <row r="6" spans="1:6">
      <c r="A6" s="336" t="s">
        <v>250</v>
      </c>
      <c r="B6" s="337" t="str">
        <f>B29</f>
        <v>GRADBENA DELA</v>
      </c>
      <c r="C6" s="338"/>
      <c r="D6" s="338"/>
      <c r="E6" s="338"/>
      <c r="F6" s="349">
        <f>F74</f>
        <v>0</v>
      </c>
    </row>
    <row r="7" spans="1:6" ht="16.5" thickBot="1">
      <c r="A7" s="336"/>
      <c r="B7" s="337"/>
      <c r="C7" s="338"/>
      <c r="D7" s="338"/>
      <c r="E7" s="338"/>
      <c r="F7" s="349"/>
    </row>
    <row r="8" spans="1:6">
      <c r="A8" s="371"/>
      <c r="B8" s="372"/>
      <c r="C8" s="373"/>
      <c r="D8" s="373"/>
      <c r="E8" s="374"/>
      <c r="F8" s="375"/>
    </row>
    <row r="9" spans="1:6">
      <c r="A9" s="376"/>
      <c r="B9" s="377" t="s">
        <v>359</v>
      </c>
      <c r="C9" s="378"/>
      <c r="D9" s="378"/>
      <c r="E9" s="379"/>
      <c r="F9" s="380">
        <f>F6</f>
        <v>0</v>
      </c>
    </row>
    <row r="10" spans="1:6">
      <c r="A10" s="363"/>
      <c r="B10" s="359" t="s">
        <v>360</v>
      </c>
      <c r="C10" s="366">
        <v>0.22</v>
      </c>
      <c r="D10" s="364"/>
      <c r="E10" s="363"/>
      <c r="F10" s="365">
        <f>F9*C10</f>
        <v>0</v>
      </c>
    </row>
    <row r="11" spans="1:6">
      <c r="A11" s="339"/>
      <c r="B11" s="337"/>
      <c r="C11" s="338"/>
      <c r="D11" s="338"/>
      <c r="E11" s="339"/>
      <c r="F11" s="339"/>
    </row>
    <row r="12" spans="1:6" ht="16.5" thickBot="1">
      <c r="A12" s="367"/>
      <c r="B12" s="368" t="s">
        <v>361</v>
      </c>
      <c r="C12" s="369"/>
      <c r="D12" s="369"/>
      <c r="E12" s="367"/>
      <c r="F12" s="370">
        <f>F9+F10</f>
        <v>0</v>
      </c>
    </row>
    <row r="13" spans="1:6" ht="16.5" thickTop="1">
      <c r="A13" s="339"/>
      <c r="B13" s="337"/>
      <c r="C13" s="338"/>
      <c r="D13" s="338"/>
      <c r="E13" s="339"/>
      <c r="F13" s="349"/>
    </row>
    <row r="14" spans="1:6">
      <c r="A14" s="334"/>
      <c r="B14" s="350" t="s">
        <v>379</v>
      </c>
      <c r="C14" s="347"/>
      <c r="D14" s="347"/>
      <c r="E14" s="347"/>
      <c r="F14" s="348"/>
    </row>
    <row r="15" spans="1:6">
      <c r="A15" s="334"/>
      <c r="B15" s="326"/>
      <c r="C15" s="347"/>
      <c r="D15" s="347"/>
      <c r="E15" s="347"/>
      <c r="F15" s="348"/>
    </row>
    <row r="16" spans="1:6" ht="52.5" customHeight="1">
      <c r="A16" s="341" t="s">
        <v>355</v>
      </c>
      <c r="B16" s="468" t="s">
        <v>347</v>
      </c>
      <c r="C16" s="468"/>
      <c r="D16" s="468"/>
      <c r="E16" s="468"/>
      <c r="F16" s="468"/>
    </row>
    <row r="17" spans="1:6" ht="38.25" customHeight="1">
      <c r="A17" s="341" t="s">
        <v>356</v>
      </c>
      <c r="B17" s="468" t="s">
        <v>352</v>
      </c>
      <c r="C17" s="468"/>
      <c r="D17" s="468"/>
      <c r="E17" s="468"/>
      <c r="F17" s="468"/>
    </row>
    <row r="18" spans="1:6" ht="24.75" customHeight="1">
      <c r="A18" s="341" t="s">
        <v>357</v>
      </c>
      <c r="B18" s="468" t="s">
        <v>358</v>
      </c>
      <c r="C18" s="468"/>
      <c r="D18" s="468"/>
      <c r="E18" s="468"/>
      <c r="F18" s="468"/>
    </row>
    <row r="19" spans="1:6">
      <c r="A19" s="327"/>
      <c r="B19" s="360"/>
      <c r="C19" s="361"/>
      <c r="D19" s="362"/>
      <c r="E19" s="362"/>
      <c r="F19" s="362"/>
    </row>
    <row r="20" spans="1:6">
      <c r="A20" s="339"/>
      <c r="B20" s="337"/>
      <c r="C20" s="338"/>
      <c r="D20" s="338"/>
      <c r="E20" s="339"/>
      <c r="F20" s="339"/>
    </row>
    <row r="21" spans="1:6">
      <c r="A21" s="339"/>
      <c r="B21" s="358"/>
      <c r="C21" s="338"/>
      <c r="D21" s="338"/>
      <c r="E21" s="339"/>
      <c r="F21" s="349"/>
    </row>
    <row r="22" spans="1:6">
      <c r="A22" s="339"/>
      <c r="B22" s="337"/>
      <c r="C22" s="338"/>
      <c r="D22" s="338"/>
      <c r="E22" s="339"/>
      <c r="F22" s="349"/>
    </row>
    <row r="23" spans="1:6">
      <c r="A23" s="339"/>
      <c r="B23" s="337"/>
      <c r="C23" s="338"/>
      <c r="D23" s="338"/>
      <c r="E23" s="339"/>
      <c r="F23" s="339"/>
    </row>
    <row r="24" spans="1:6">
      <c r="A24" s="339"/>
      <c r="B24" s="358"/>
      <c r="C24" s="338"/>
      <c r="D24" s="338"/>
      <c r="E24" s="339"/>
      <c r="F24" s="349"/>
    </row>
    <row r="25" spans="1:6">
      <c r="A25" s="339"/>
      <c r="B25" s="337"/>
      <c r="C25" s="338"/>
      <c r="D25" s="338"/>
      <c r="E25" s="339"/>
      <c r="F25" s="349"/>
    </row>
    <row r="26" spans="1:6">
      <c r="A26" s="339"/>
      <c r="B26" s="337"/>
      <c r="C26" s="338"/>
      <c r="D26" s="338"/>
      <c r="E26" s="339"/>
      <c r="F26" s="339"/>
    </row>
    <row r="27" spans="1:6" ht="22.5">
      <c r="A27" s="417" t="s">
        <v>351</v>
      </c>
      <c r="B27" s="418" t="s">
        <v>348</v>
      </c>
      <c r="C27" s="419" t="s">
        <v>349</v>
      </c>
      <c r="D27" s="419" t="s">
        <v>350</v>
      </c>
      <c r="E27" s="420" t="s">
        <v>353</v>
      </c>
      <c r="F27" s="421" t="s">
        <v>354</v>
      </c>
    </row>
    <row r="28" spans="1:6">
      <c r="A28" s="381"/>
      <c r="B28" s="382"/>
      <c r="C28" s="383"/>
      <c r="D28" s="383"/>
      <c r="E28" s="384"/>
      <c r="F28" s="385"/>
    </row>
    <row r="29" spans="1:6" ht="16.5" thickBot="1">
      <c r="A29" s="386" t="s">
        <v>250</v>
      </c>
      <c r="B29" s="387" t="s">
        <v>16</v>
      </c>
      <c r="C29" s="388"/>
      <c r="D29" s="389"/>
      <c r="E29" s="389"/>
      <c r="F29" s="390"/>
    </row>
    <row r="30" spans="1:6">
      <c r="A30" s="351"/>
      <c r="B30" s="352"/>
      <c r="C30" s="353"/>
      <c r="D30" s="391"/>
      <c r="E30" s="391"/>
      <c r="F30" s="392"/>
    </row>
    <row r="31" spans="1:6" ht="81.75" customHeight="1">
      <c r="A31" s="443">
        <f>MAX(A22:A30)+0.01</f>
        <v>0.01</v>
      </c>
      <c r="B31" s="354" t="s">
        <v>362</v>
      </c>
      <c r="C31" s="329" t="s">
        <v>254</v>
      </c>
      <c r="D31" s="393">
        <v>1</v>
      </c>
      <c r="E31" s="330"/>
      <c r="F31" s="331">
        <f>D31*E31</f>
        <v>0</v>
      </c>
    </row>
    <row r="32" spans="1:6">
      <c r="A32" s="443"/>
      <c r="B32" s="354"/>
      <c r="C32" s="329"/>
      <c r="D32" s="393"/>
      <c r="E32" s="330"/>
      <c r="F32" s="331"/>
    </row>
    <row r="33" spans="1:6" ht="31.5" customHeight="1">
      <c r="A33" s="443">
        <f>MAX(A31:A31)+0.01</f>
        <v>0.02</v>
      </c>
      <c r="B33" s="354" t="s">
        <v>363</v>
      </c>
      <c r="C33" s="395"/>
      <c r="D33" s="396"/>
      <c r="E33" s="356"/>
      <c r="F33" s="356"/>
    </row>
    <row r="34" spans="1:6" ht="14.25" customHeight="1">
      <c r="A34" s="443"/>
      <c r="B34" s="397" t="s">
        <v>364</v>
      </c>
      <c r="C34" s="398" t="s">
        <v>254</v>
      </c>
      <c r="D34" s="396">
        <v>1</v>
      </c>
      <c r="E34" s="356"/>
      <c r="F34" s="356">
        <f t="shared" ref="F34:F37" si="0">D34*E34</f>
        <v>0</v>
      </c>
    </row>
    <row r="35" spans="1:6" ht="14.25" customHeight="1">
      <c r="A35" s="443"/>
      <c r="B35" s="397" t="s">
        <v>365</v>
      </c>
      <c r="C35" s="398" t="s">
        <v>254</v>
      </c>
      <c r="D35" s="396">
        <v>1</v>
      </c>
      <c r="E35" s="356"/>
      <c r="F35" s="356">
        <f t="shared" si="0"/>
        <v>0</v>
      </c>
    </row>
    <row r="36" spans="1:6" ht="14.25" customHeight="1">
      <c r="A36" s="443"/>
      <c r="B36" s="397" t="s">
        <v>366</v>
      </c>
      <c r="C36" s="398" t="s">
        <v>254</v>
      </c>
      <c r="D36" s="396">
        <v>1</v>
      </c>
      <c r="E36" s="356"/>
      <c r="F36" s="356">
        <f t="shared" si="0"/>
        <v>0</v>
      </c>
    </row>
    <row r="37" spans="1:6" ht="14.25" customHeight="1">
      <c r="A37" s="443"/>
      <c r="B37" s="397" t="s">
        <v>367</v>
      </c>
      <c r="C37" s="398" t="s">
        <v>254</v>
      </c>
      <c r="D37" s="396">
        <v>1</v>
      </c>
      <c r="E37" s="356"/>
      <c r="F37" s="356">
        <f t="shared" si="0"/>
        <v>0</v>
      </c>
    </row>
    <row r="38" spans="1:6">
      <c r="A38" s="443"/>
      <c r="B38" s="397"/>
      <c r="C38" s="398"/>
      <c r="D38" s="396"/>
      <c r="E38" s="356"/>
      <c r="F38" s="356"/>
    </row>
    <row r="39" spans="1:6" ht="40.5" customHeight="1">
      <c r="A39" s="443">
        <f>MAX(A24:A38)+0.01</f>
        <v>0.03</v>
      </c>
      <c r="B39" s="354" t="s">
        <v>368</v>
      </c>
      <c r="C39" s="329" t="s">
        <v>59</v>
      </c>
      <c r="D39" s="393">
        <v>2</v>
      </c>
      <c r="E39" s="330"/>
      <c r="F39" s="331">
        <f>D39*E39</f>
        <v>0</v>
      </c>
    </row>
    <row r="40" spans="1:6">
      <c r="A40" s="443"/>
      <c r="B40" s="354"/>
      <c r="C40" s="329"/>
      <c r="D40" s="393"/>
      <c r="E40" s="330"/>
      <c r="F40" s="331"/>
    </row>
    <row r="41" spans="1:6" ht="43.5" customHeight="1">
      <c r="A41" s="443">
        <f>MAX(A26:A40)+0.01</f>
        <v>0.04</v>
      </c>
      <c r="B41" s="394" t="s">
        <v>380</v>
      </c>
      <c r="C41" s="399" t="s">
        <v>254</v>
      </c>
      <c r="D41" s="328">
        <v>1</v>
      </c>
      <c r="E41" s="332"/>
      <c r="F41" s="331">
        <f>D41*E41</f>
        <v>0</v>
      </c>
    </row>
    <row r="42" spans="1:6">
      <c r="A42" s="443"/>
      <c r="B42" s="394"/>
      <c r="C42" s="399"/>
      <c r="D42" s="328"/>
      <c r="E42" s="332"/>
      <c r="F42" s="331"/>
    </row>
    <row r="43" spans="1:6" ht="32.25" customHeight="1">
      <c r="A43" s="443">
        <f>MAX(A29:A42)+0.01</f>
        <v>0.05</v>
      </c>
      <c r="B43" s="422" t="s">
        <v>381</v>
      </c>
      <c r="C43" s="399" t="s">
        <v>71</v>
      </c>
      <c r="D43" s="328">
        <v>20</v>
      </c>
      <c r="E43" s="332"/>
      <c r="F43" s="331">
        <f>D43*E43</f>
        <v>0</v>
      </c>
    </row>
    <row r="44" spans="1:6">
      <c r="A44" s="443"/>
      <c r="B44" s="422"/>
      <c r="C44" s="329"/>
      <c r="D44" s="328"/>
      <c r="E44" s="332"/>
      <c r="F44" s="331"/>
    </row>
    <row r="45" spans="1:6" ht="26.25" customHeight="1">
      <c r="A45" s="443">
        <f>MAX(A31:A44)+0.01</f>
        <v>6.0000000000000005E-2</v>
      </c>
      <c r="B45" s="394" t="s">
        <v>369</v>
      </c>
      <c r="C45" s="399" t="s">
        <v>370</v>
      </c>
      <c r="D45" s="328">
        <v>2</v>
      </c>
      <c r="E45" s="332"/>
      <c r="F45" s="331">
        <f>D45*E45</f>
        <v>0</v>
      </c>
    </row>
    <row r="46" spans="1:6">
      <c r="A46" s="443"/>
      <c r="B46" s="394"/>
      <c r="C46" s="399"/>
      <c r="D46" s="328"/>
      <c r="E46" s="332"/>
      <c r="F46" s="331"/>
    </row>
    <row r="47" spans="1:6" ht="114.75">
      <c r="A47" s="443">
        <f>MAX(A31:A46)+0.01</f>
        <v>7.0000000000000007E-2</v>
      </c>
      <c r="B47" s="423" t="s">
        <v>371</v>
      </c>
      <c r="C47" s="399"/>
      <c r="D47" s="328"/>
      <c r="E47" s="332"/>
      <c r="F47" s="331"/>
    </row>
    <row r="48" spans="1:6">
      <c r="A48" s="443"/>
      <c r="B48" s="424" t="s">
        <v>383</v>
      </c>
      <c r="C48" s="401" t="s">
        <v>372</v>
      </c>
      <c r="D48" s="328">
        <v>129.6</v>
      </c>
      <c r="E48" s="402"/>
      <c r="F48" s="331">
        <f>D48*E48</f>
        <v>0</v>
      </c>
    </row>
    <row r="49" spans="1:6">
      <c r="A49" s="443"/>
      <c r="B49" s="422"/>
      <c r="C49" s="329"/>
      <c r="D49" s="328"/>
      <c r="E49" s="332"/>
      <c r="F49" s="331"/>
    </row>
    <row r="50" spans="1:6" ht="119.25" customHeight="1">
      <c r="A50" s="443">
        <f>MAX(A31:A49)+0.01</f>
        <v>0.08</v>
      </c>
      <c r="B50" s="423" t="s">
        <v>382</v>
      </c>
      <c r="C50" s="403"/>
      <c r="D50" s="404"/>
      <c r="E50" s="405"/>
      <c r="F50" s="405"/>
    </row>
    <row r="51" spans="1:6">
      <c r="A51" s="444"/>
      <c r="B51" s="424" t="s">
        <v>383</v>
      </c>
      <c r="C51" s="401" t="s">
        <v>372</v>
      </c>
      <c r="D51" s="328">
        <v>5</v>
      </c>
      <c r="E51" s="402"/>
      <c r="F51" s="331">
        <f>D51*E51</f>
        <v>0</v>
      </c>
    </row>
    <row r="52" spans="1:6">
      <c r="A52" s="444"/>
      <c r="B52" s="424"/>
      <c r="C52" s="401"/>
      <c r="D52" s="328"/>
      <c r="E52" s="402"/>
      <c r="F52" s="331"/>
    </row>
    <row r="53" spans="1:6" ht="56.25" customHeight="1">
      <c r="A53" s="443">
        <f>MAX(A50:A52)+0.01</f>
        <v>0.09</v>
      </c>
      <c r="B53" s="425" t="s">
        <v>373</v>
      </c>
      <c r="C53" s="406"/>
      <c r="D53" s="328"/>
      <c r="E53" s="333"/>
      <c r="F53" s="333"/>
    </row>
    <row r="54" spans="1:6">
      <c r="A54" s="444"/>
      <c r="B54" s="426" t="s">
        <v>374</v>
      </c>
      <c r="C54" s="401" t="s">
        <v>372</v>
      </c>
      <c r="D54" s="328">
        <v>23.04</v>
      </c>
      <c r="E54" s="407"/>
      <c r="F54" s="331">
        <f>D54*E54</f>
        <v>0</v>
      </c>
    </row>
    <row r="55" spans="1:6" ht="14.25" customHeight="1">
      <c r="A55" s="444"/>
      <c r="B55" s="424"/>
      <c r="C55" s="401"/>
      <c r="D55" s="328"/>
      <c r="E55" s="332"/>
      <c r="F55" s="333"/>
    </row>
    <row r="56" spans="1:6" ht="51">
      <c r="A56" s="443">
        <f>MAX(A52:A55)+0.01</f>
        <v>9.9999999999999992E-2</v>
      </c>
      <c r="B56" s="408" t="s">
        <v>375</v>
      </c>
      <c r="C56" s="409"/>
      <c r="D56" s="328"/>
      <c r="E56" s="333"/>
      <c r="F56" s="333"/>
    </row>
    <row r="57" spans="1:6">
      <c r="A57" s="444"/>
      <c r="B57" s="426" t="s">
        <v>376</v>
      </c>
      <c r="C57" s="401" t="s">
        <v>372</v>
      </c>
      <c r="D57" s="328">
        <v>76.8</v>
      </c>
      <c r="E57" s="407"/>
      <c r="F57" s="331">
        <f>D57*E57</f>
        <v>0</v>
      </c>
    </row>
    <row r="58" spans="1:6">
      <c r="A58" s="444"/>
      <c r="B58" s="426"/>
      <c r="C58" s="401"/>
      <c r="D58" s="328"/>
      <c r="E58" s="332"/>
      <c r="F58" s="331"/>
    </row>
    <row r="59" spans="1:6" ht="53.25" customHeight="1">
      <c r="A59" s="443">
        <f>MAX(A53:A58)+0.01</f>
        <v>0.10999999999999999</v>
      </c>
      <c r="B59" s="400" t="s">
        <v>377</v>
      </c>
      <c r="C59" s="410"/>
      <c r="D59" s="328"/>
      <c r="E59" s="332"/>
      <c r="F59" s="333"/>
    </row>
    <row r="60" spans="1:6">
      <c r="A60" s="444"/>
      <c r="B60" s="426" t="s">
        <v>378</v>
      </c>
      <c r="C60" s="401" t="s">
        <v>372</v>
      </c>
      <c r="D60" s="328">
        <v>30</v>
      </c>
      <c r="E60" s="407"/>
      <c r="F60" s="331">
        <f>D60*E60</f>
        <v>0</v>
      </c>
    </row>
    <row r="61" spans="1:6">
      <c r="A61" s="444"/>
      <c r="B61" s="426"/>
      <c r="C61" s="401"/>
      <c r="D61" s="328"/>
      <c r="E61" s="407"/>
      <c r="F61" s="331"/>
    </row>
    <row r="62" spans="1:6" ht="51">
      <c r="A62" s="444">
        <v>1.1299999999999999</v>
      </c>
      <c r="B62" s="435" t="s">
        <v>387</v>
      </c>
      <c r="C62" s="438" t="s">
        <v>59</v>
      </c>
      <c r="D62" s="430">
        <v>4</v>
      </c>
      <c r="E62" s="407"/>
      <c r="F62" s="331">
        <f>D62*E62</f>
        <v>0</v>
      </c>
    </row>
    <row r="63" spans="1:6">
      <c r="A63" s="444"/>
      <c r="B63" s="436"/>
      <c r="C63" s="432"/>
      <c r="D63" s="433"/>
      <c r="E63" s="407"/>
      <c r="F63" s="331"/>
    </row>
    <row r="64" spans="1:6" ht="127.5">
      <c r="A64" s="444">
        <v>1.1399999999999999</v>
      </c>
      <c r="B64" s="428" t="s">
        <v>388</v>
      </c>
      <c r="C64" s="429"/>
      <c r="D64" s="439"/>
      <c r="E64" s="407"/>
      <c r="F64" s="331"/>
    </row>
    <row r="65" spans="1:6">
      <c r="A65" s="444"/>
      <c r="B65" s="437" t="s">
        <v>390</v>
      </c>
      <c r="C65" s="429" t="s">
        <v>389</v>
      </c>
      <c r="D65" s="440">
        <v>5</v>
      </c>
      <c r="E65" s="407"/>
      <c r="F65" s="331">
        <f>D65*E65</f>
        <v>0</v>
      </c>
    </row>
    <row r="66" spans="1:6" ht="25.5">
      <c r="A66" s="444"/>
      <c r="B66" s="437" t="s">
        <v>391</v>
      </c>
      <c r="C66" s="429" t="s">
        <v>389</v>
      </c>
      <c r="D66" s="440">
        <v>3</v>
      </c>
      <c r="E66" s="407"/>
      <c r="F66" s="331">
        <f>D66*E66</f>
        <v>0</v>
      </c>
    </row>
    <row r="67" spans="1:6">
      <c r="A67" s="444"/>
      <c r="B67" s="426"/>
      <c r="C67" s="401"/>
      <c r="D67" s="328"/>
      <c r="E67" s="407"/>
      <c r="F67" s="331"/>
    </row>
    <row r="68" spans="1:6" ht="51">
      <c r="A68" s="444">
        <v>1.1499999999999999</v>
      </c>
      <c r="B68" s="428" t="s">
        <v>384</v>
      </c>
      <c r="C68" s="429" t="s">
        <v>385</v>
      </c>
      <c r="D68" s="430">
        <v>15</v>
      </c>
      <c r="E68" s="407"/>
      <c r="F68" s="331">
        <f>D68*E68</f>
        <v>0</v>
      </c>
    </row>
    <row r="69" spans="1:6">
      <c r="A69" s="444"/>
      <c r="B69" s="431"/>
      <c r="C69" s="432"/>
      <c r="D69" s="433"/>
      <c r="E69" s="407"/>
      <c r="F69" s="331"/>
    </row>
    <row r="70" spans="1:6" ht="69" customHeight="1">
      <c r="A70" s="444">
        <v>1.1599999999999999</v>
      </c>
      <c r="B70" s="434" t="s">
        <v>386</v>
      </c>
      <c r="C70" s="432" t="s">
        <v>385</v>
      </c>
      <c r="D70" s="433">
        <v>30</v>
      </c>
      <c r="E70" s="407"/>
      <c r="F70" s="331">
        <f>D70*E70</f>
        <v>0</v>
      </c>
    </row>
    <row r="71" spans="1:6">
      <c r="A71" s="444"/>
      <c r="B71" s="426"/>
      <c r="C71" s="401"/>
      <c r="D71" s="328"/>
      <c r="E71" s="407"/>
      <c r="F71" s="331"/>
    </row>
    <row r="72" spans="1:6" ht="41.25" customHeight="1">
      <c r="A72" s="443">
        <v>1.17</v>
      </c>
      <c r="B72" s="427" t="s">
        <v>346</v>
      </c>
      <c r="C72" s="399" t="s">
        <v>395</v>
      </c>
      <c r="D72" s="328">
        <v>5</v>
      </c>
      <c r="E72" s="355"/>
      <c r="F72" s="441">
        <f>SUM(F31:F71)*0.05</f>
        <v>0</v>
      </c>
    </row>
    <row r="73" spans="1:6">
      <c r="A73" s="445"/>
      <c r="B73" s="411"/>
      <c r="C73" s="412"/>
      <c r="D73" s="328"/>
      <c r="E73" s="332"/>
      <c r="F73" s="331"/>
    </row>
    <row r="74" spans="1:6" ht="16.5" thickBot="1">
      <c r="A74" s="446"/>
      <c r="B74" s="413" t="s">
        <v>283</v>
      </c>
      <c r="C74" s="414"/>
      <c r="D74" s="415"/>
      <c r="E74" s="416"/>
      <c r="F74" s="442">
        <f>SUM(F31:F73)</f>
        <v>0</v>
      </c>
    </row>
    <row r="75" spans="1:6" ht="16.5" thickTop="1"/>
  </sheetData>
  <mergeCells count="5">
    <mergeCell ref="B17:F17"/>
    <mergeCell ref="B18:F18"/>
    <mergeCell ref="B16:F16"/>
    <mergeCell ref="B2:E2"/>
    <mergeCell ref="A3:F3"/>
  </mergeCells>
  <pageMargins left="0.7" right="0.7" top="0.75" bottom="0.75" header="0.3" footer="0.3"/>
  <pageSetup paperSize="9" orientation="portrait" r:id="rId1"/>
  <rowBreaks count="1" manualBreakCount="1">
    <brk id="26" max="5"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19398-7698-40BA-A68E-A3EBB9CD63E1}">
  <dimension ref="A1:F75"/>
  <sheetViews>
    <sheetView view="pageLayout" topLeftCell="A19" zoomScale="130" zoomScaleNormal="130" zoomScaleSheetLayoutView="145" zoomScalePageLayoutView="130" workbookViewId="0">
      <selection activeCell="E25" sqref="E25"/>
    </sheetView>
  </sheetViews>
  <sheetFormatPr defaultRowHeight="15.75"/>
  <cols>
    <col min="1" max="1" width="4.77734375" customWidth="1"/>
    <col min="2" max="2" width="32.109375" customWidth="1"/>
    <col min="3" max="3" width="5.44140625" customWidth="1"/>
    <col min="4" max="4" width="7.44140625" customWidth="1"/>
    <col min="5" max="5" width="10.5546875" customWidth="1"/>
    <col min="6" max="6" width="13" customWidth="1"/>
  </cols>
  <sheetData>
    <row r="1" spans="1:6">
      <c r="A1" s="335"/>
      <c r="B1" s="343"/>
      <c r="C1" s="344"/>
      <c r="D1" s="344"/>
      <c r="E1" s="344"/>
      <c r="F1" s="345"/>
    </row>
    <row r="2" spans="1:6">
      <c r="A2" s="342"/>
      <c r="B2" s="469" t="s">
        <v>394</v>
      </c>
      <c r="C2" s="469"/>
      <c r="D2" s="469"/>
      <c r="E2" s="469"/>
      <c r="F2" s="340"/>
    </row>
    <row r="3" spans="1:6">
      <c r="A3" s="470"/>
      <c r="B3" s="470"/>
      <c r="C3" s="470"/>
      <c r="D3" s="470"/>
      <c r="E3" s="470"/>
      <c r="F3" s="470"/>
    </row>
    <row r="4" spans="1:6">
      <c r="A4" s="326"/>
      <c r="B4" s="357"/>
      <c r="C4" s="346"/>
      <c r="D4" s="347"/>
      <c r="E4" s="347"/>
      <c r="F4" s="348"/>
    </row>
    <row r="5" spans="1:6">
      <c r="A5" s="326"/>
      <c r="B5" s="357"/>
      <c r="C5" s="346"/>
      <c r="D5" s="347"/>
      <c r="E5" s="347"/>
      <c r="F5" s="348"/>
    </row>
    <row r="6" spans="1:6">
      <c r="A6" s="336" t="s">
        <v>250</v>
      </c>
      <c r="B6" s="337" t="str">
        <f>B21</f>
        <v>GRADBENA DELA</v>
      </c>
      <c r="C6" s="338"/>
      <c r="D6" s="338"/>
      <c r="E6" s="338"/>
      <c r="F6" s="349">
        <f>F29</f>
        <v>0</v>
      </c>
    </row>
    <row r="7" spans="1:6" ht="16.5" thickBot="1">
      <c r="A7" s="336"/>
      <c r="B7" s="337"/>
      <c r="C7" s="338"/>
      <c r="D7" s="338"/>
      <c r="E7" s="338"/>
      <c r="F7" s="349"/>
    </row>
    <row r="8" spans="1:6">
      <c r="A8" s="371"/>
      <c r="B8" s="372"/>
      <c r="C8" s="373"/>
      <c r="D8" s="373"/>
      <c r="E8" s="374"/>
      <c r="F8" s="375"/>
    </row>
    <row r="9" spans="1:6">
      <c r="A9" s="376"/>
      <c r="B9" s="377" t="s">
        <v>359</v>
      </c>
      <c r="C9" s="378"/>
      <c r="D9" s="378"/>
      <c r="E9" s="379"/>
      <c r="F9" s="380">
        <f>F6</f>
        <v>0</v>
      </c>
    </row>
    <row r="10" spans="1:6">
      <c r="A10" s="363"/>
      <c r="B10" s="359" t="s">
        <v>360</v>
      </c>
      <c r="C10" s="366">
        <v>0.22</v>
      </c>
      <c r="D10" s="364"/>
      <c r="E10" s="363"/>
      <c r="F10" s="365">
        <f>F9*C10</f>
        <v>0</v>
      </c>
    </row>
    <row r="11" spans="1:6">
      <c r="A11" s="339"/>
      <c r="B11" s="337"/>
      <c r="C11" s="338"/>
      <c r="D11" s="338"/>
      <c r="E11" s="339"/>
      <c r="F11" s="339"/>
    </row>
    <row r="12" spans="1:6" ht="16.5" thickBot="1">
      <c r="A12" s="367"/>
      <c r="B12" s="368" t="s">
        <v>361</v>
      </c>
      <c r="C12" s="369"/>
      <c r="D12" s="369"/>
      <c r="E12" s="367"/>
      <c r="F12" s="370">
        <f>F9+F10</f>
        <v>0</v>
      </c>
    </row>
    <row r="13" spans="1:6" ht="16.5" thickTop="1">
      <c r="A13" s="339"/>
      <c r="B13" s="337"/>
      <c r="C13" s="338"/>
      <c r="D13" s="338"/>
      <c r="E13" s="339"/>
      <c r="F13" s="349"/>
    </row>
    <row r="14" spans="1:6">
      <c r="A14" s="334"/>
      <c r="B14" s="350" t="s">
        <v>379</v>
      </c>
      <c r="C14" s="347"/>
      <c r="D14" s="347"/>
      <c r="E14" s="347"/>
      <c r="F14" s="348"/>
    </row>
    <row r="15" spans="1:6">
      <c r="A15" s="334"/>
      <c r="B15" s="326"/>
      <c r="C15" s="347"/>
      <c r="D15" s="347"/>
      <c r="E15" s="347"/>
      <c r="F15" s="348"/>
    </row>
    <row r="16" spans="1:6" ht="52.5" customHeight="1">
      <c r="A16" s="341" t="s">
        <v>355</v>
      </c>
      <c r="B16" s="468" t="s">
        <v>347</v>
      </c>
      <c r="C16" s="468"/>
      <c r="D16" s="468"/>
      <c r="E16" s="468"/>
      <c r="F16" s="468"/>
    </row>
    <row r="17" spans="1:6" ht="24.75" customHeight="1">
      <c r="A17" s="341" t="s">
        <v>356</v>
      </c>
      <c r="B17" s="468" t="s">
        <v>358</v>
      </c>
      <c r="C17" s="468"/>
      <c r="D17" s="468"/>
      <c r="E17" s="468"/>
      <c r="F17" s="468"/>
    </row>
    <row r="18" spans="1:6">
      <c r="A18" s="339"/>
      <c r="B18" s="337"/>
      <c r="C18" s="338"/>
      <c r="D18" s="338"/>
      <c r="E18" s="339"/>
      <c r="F18" s="339"/>
    </row>
    <row r="19" spans="1:6" ht="22.5">
      <c r="A19" s="417" t="s">
        <v>351</v>
      </c>
      <c r="B19" s="418" t="s">
        <v>348</v>
      </c>
      <c r="C19" s="419" t="s">
        <v>349</v>
      </c>
      <c r="D19" s="419" t="s">
        <v>350</v>
      </c>
      <c r="E19" s="420" t="s">
        <v>353</v>
      </c>
      <c r="F19" s="421" t="s">
        <v>354</v>
      </c>
    </row>
    <row r="20" spans="1:6">
      <c r="A20" s="381"/>
      <c r="B20" s="382"/>
      <c r="C20" s="383"/>
      <c r="D20" s="383"/>
      <c r="E20" s="384"/>
      <c r="F20" s="385"/>
    </row>
    <row r="21" spans="1:6" ht="16.5" thickBot="1">
      <c r="A21" s="386" t="s">
        <v>250</v>
      </c>
      <c r="B21" s="387" t="s">
        <v>16</v>
      </c>
      <c r="C21" s="388"/>
      <c r="D21" s="389"/>
      <c r="E21" s="389"/>
      <c r="F21" s="390"/>
    </row>
    <row r="22" spans="1:6">
      <c r="A22" s="351"/>
      <c r="B22" s="352"/>
      <c r="C22" s="353"/>
      <c r="D22" s="391"/>
      <c r="E22" s="391"/>
      <c r="F22" s="392"/>
    </row>
    <row r="23" spans="1:6">
      <c r="A23" s="443">
        <v>1.01</v>
      </c>
      <c r="B23" s="354" t="s">
        <v>392</v>
      </c>
      <c r="C23" s="329" t="s">
        <v>25</v>
      </c>
      <c r="D23" s="393">
        <v>200</v>
      </c>
      <c r="E23" s="330"/>
      <c r="F23" s="331">
        <f>D23*E23</f>
        <v>0</v>
      </c>
    </row>
    <row r="24" spans="1:6">
      <c r="A24" s="443"/>
      <c r="B24" s="394"/>
      <c r="C24" s="329"/>
      <c r="D24" s="393"/>
      <c r="E24" s="330"/>
      <c r="F24" s="331"/>
    </row>
    <row r="25" spans="1:6" ht="38.25">
      <c r="A25" s="443">
        <f>MAX(A18:A23)+0.01</f>
        <v>1.02</v>
      </c>
      <c r="B25" s="354" t="s">
        <v>393</v>
      </c>
      <c r="C25" s="329" t="s">
        <v>254</v>
      </c>
      <c r="D25" s="393">
        <v>200</v>
      </c>
      <c r="E25" s="330"/>
      <c r="F25" s="331">
        <f>D25*E25</f>
        <v>0</v>
      </c>
    </row>
    <row r="26" spans="1:6">
      <c r="A26" s="443"/>
      <c r="B26" s="354"/>
      <c r="C26" s="329"/>
      <c r="D26" s="393"/>
      <c r="E26" s="330"/>
      <c r="F26" s="331"/>
    </row>
    <row r="27" spans="1:6" ht="38.25">
      <c r="A27" s="443">
        <v>1.03</v>
      </c>
      <c r="B27" s="427" t="s">
        <v>346</v>
      </c>
      <c r="C27" s="329" t="s">
        <v>395</v>
      </c>
      <c r="D27" s="393">
        <v>5</v>
      </c>
      <c r="E27" s="330"/>
      <c r="F27" s="331">
        <f>SUM(F23:F25)*0.05</f>
        <v>0</v>
      </c>
    </row>
    <row r="28" spans="1:6">
      <c r="A28" s="445"/>
      <c r="B28" s="411"/>
      <c r="C28" s="412"/>
      <c r="D28" s="328"/>
      <c r="E28" s="332"/>
      <c r="F28" s="331"/>
    </row>
    <row r="29" spans="1:6" ht="16.5" thickBot="1">
      <c r="A29" s="446"/>
      <c r="B29" s="413" t="s">
        <v>283</v>
      </c>
      <c r="C29" s="414"/>
      <c r="D29" s="415"/>
      <c r="E29" s="416"/>
      <c r="F29" s="442">
        <f>SUM(F23:F28)</f>
        <v>0</v>
      </c>
    </row>
    <row r="30" spans="1:6" ht="16.5" thickTop="1"/>
    <row r="36" ht="31.5" customHeight="1"/>
    <row r="37" ht="14.25" customHeight="1"/>
    <row r="38" ht="14.25" customHeight="1"/>
    <row r="39" ht="14.25" customHeight="1"/>
    <row r="40" ht="14.25" customHeight="1"/>
    <row r="42" ht="40.5" customHeight="1"/>
    <row r="44" ht="43.5" customHeight="1"/>
    <row r="46" ht="32.25" customHeight="1"/>
    <row r="48" ht="26.25" customHeight="1"/>
    <row r="53" ht="119.25" customHeight="1"/>
    <row r="56" ht="56.25" customHeight="1"/>
    <row r="58" ht="14.25" customHeight="1"/>
    <row r="62" ht="53.25" customHeight="1"/>
    <row r="73" ht="69" customHeight="1"/>
    <row r="75" ht="41.25" customHeight="1"/>
  </sheetData>
  <mergeCells count="4">
    <mergeCell ref="B2:E2"/>
    <mergeCell ref="A3:F3"/>
    <mergeCell ref="B16:F16"/>
    <mergeCell ref="B17:F17"/>
  </mergeCells>
  <pageMargins left="0.7" right="0.7" top="0.75" bottom="0.75" header="0.3" footer="0.3"/>
  <pageSetup paperSize="9" orientation="portrait" r:id="rId1"/>
  <rowBreaks count="1" manualBreakCount="1">
    <brk id="18" max="5"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E265"/>
  <sheetViews>
    <sheetView view="pageBreakPreview" zoomScaleNormal="100" zoomScaleSheetLayoutView="100" workbookViewId="0">
      <selection activeCell="B12" sqref="B12:D12"/>
    </sheetView>
  </sheetViews>
  <sheetFormatPr defaultRowHeight="15.75"/>
  <cols>
    <col min="1" max="1" width="5.44140625" customWidth="1"/>
    <col min="2" max="2" width="31.88671875" customWidth="1"/>
    <col min="3" max="5" width="10" customWidth="1"/>
  </cols>
  <sheetData>
    <row r="1" spans="1:5">
      <c r="A1" s="262"/>
      <c r="B1" s="263"/>
      <c r="C1" s="264"/>
      <c r="D1" s="264"/>
      <c r="E1" s="264"/>
    </row>
    <row r="2" spans="1:5">
      <c r="A2" s="265"/>
      <c r="B2" s="266"/>
      <c r="C2" s="267"/>
      <c r="D2" s="267"/>
      <c r="E2" s="260"/>
    </row>
    <row r="3" spans="1:5">
      <c r="A3" s="265"/>
      <c r="B3" s="268"/>
      <c r="C3" s="260"/>
      <c r="D3" s="260"/>
      <c r="E3" s="260"/>
    </row>
    <row r="4" spans="1:5">
      <c r="A4" s="265"/>
      <c r="B4" s="269"/>
      <c r="C4" s="267"/>
      <c r="D4" s="267"/>
      <c r="E4" s="267"/>
    </row>
    <row r="5" spans="1:5">
      <c r="A5" s="265"/>
      <c r="B5" s="268"/>
      <c r="C5" s="260"/>
      <c r="D5" s="260"/>
      <c r="E5" s="260"/>
    </row>
    <row r="6" spans="1:5">
      <c r="A6" s="265"/>
      <c r="B6" s="268"/>
      <c r="C6" s="260"/>
      <c r="D6" s="260"/>
      <c r="E6" s="260"/>
    </row>
    <row r="7" spans="1:5">
      <c r="A7" s="265"/>
      <c r="B7" s="270"/>
      <c r="C7" s="271"/>
      <c r="D7" s="260"/>
      <c r="E7" s="260"/>
    </row>
    <row r="8" spans="1:5">
      <c r="A8" s="265"/>
      <c r="B8" s="270"/>
      <c r="C8" s="260"/>
      <c r="D8" s="260"/>
      <c r="E8" s="260"/>
    </row>
    <row r="9" spans="1:5">
      <c r="A9" s="265"/>
      <c r="B9" s="272"/>
      <c r="C9" s="260"/>
      <c r="D9" s="260"/>
      <c r="E9" s="260"/>
    </row>
    <row r="10" spans="1:5">
      <c r="A10" s="265"/>
      <c r="B10" s="272"/>
      <c r="C10" s="260"/>
      <c r="D10" s="260"/>
      <c r="E10" s="260"/>
    </row>
    <row r="11" spans="1:5">
      <c r="A11" s="265"/>
      <c r="B11" s="270"/>
      <c r="C11" s="260"/>
      <c r="D11" s="260"/>
      <c r="E11" s="260"/>
    </row>
    <row r="12" spans="1:5" ht="20.25">
      <c r="A12" s="265"/>
      <c r="B12" s="471" t="s">
        <v>345</v>
      </c>
      <c r="C12" s="471"/>
      <c r="D12" s="471"/>
      <c r="E12" s="271"/>
    </row>
    <row r="13" spans="1:5" ht="20.25">
      <c r="A13" s="265"/>
      <c r="B13" s="273"/>
      <c r="C13" s="273"/>
      <c r="D13" s="274"/>
      <c r="E13" s="271"/>
    </row>
    <row r="14" spans="1:5" ht="20.25">
      <c r="A14" s="265"/>
      <c r="B14" s="273"/>
      <c r="C14" s="273"/>
      <c r="D14" s="274"/>
      <c r="E14" s="271"/>
    </row>
    <row r="15" spans="1:5" ht="20.25">
      <c r="A15" s="265"/>
      <c r="B15" s="273"/>
      <c r="C15" s="273"/>
      <c r="D15" s="274"/>
      <c r="E15" s="271"/>
    </row>
    <row r="16" spans="1:5">
      <c r="A16" s="265"/>
      <c r="B16" s="270"/>
      <c r="C16" s="271"/>
      <c r="D16" s="260"/>
      <c r="E16" s="260"/>
    </row>
    <row r="17" spans="1:5">
      <c r="A17" s="255"/>
      <c r="B17" s="275"/>
      <c r="C17" s="259"/>
      <c r="D17" s="259"/>
      <c r="E17" s="259"/>
    </row>
    <row r="18" spans="1:5">
      <c r="A18" s="276" t="s">
        <v>303</v>
      </c>
      <c r="B18" s="277" t="s">
        <v>304</v>
      </c>
      <c r="C18" s="472">
        <f>E141</f>
        <v>0</v>
      </c>
      <c r="D18" s="472"/>
      <c r="E18" s="267"/>
    </row>
    <row r="19" spans="1:5" ht="16.5" thickBot="1">
      <c r="A19" s="278" t="s">
        <v>305</v>
      </c>
      <c r="B19" s="279" t="s">
        <v>306</v>
      </c>
      <c r="C19" s="472">
        <f>E241</f>
        <v>0</v>
      </c>
      <c r="D19" s="472"/>
      <c r="E19" s="267"/>
    </row>
    <row r="20" spans="1:5" ht="18.75" thickBot="1">
      <c r="A20" s="280"/>
      <c r="B20" s="281" t="s">
        <v>53</v>
      </c>
      <c r="C20" s="473">
        <f>SUM(C18:C19)</f>
        <v>0</v>
      </c>
      <c r="D20" s="474"/>
      <c r="E20" s="267"/>
    </row>
    <row r="21" spans="1:5">
      <c r="A21" s="255"/>
      <c r="B21" s="282"/>
      <c r="C21" s="283"/>
      <c r="D21" s="283"/>
      <c r="E21" s="267"/>
    </row>
    <row r="22" spans="1:5">
      <c r="A22" s="262"/>
      <c r="B22" s="263"/>
      <c r="C22" s="264"/>
      <c r="D22" s="264"/>
      <c r="E22" s="264"/>
    </row>
    <row r="23" spans="1:5">
      <c r="A23" s="262"/>
      <c r="B23" s="263"/>
      <c r="C23" s="264"/>
      <c r="D23" s="264"/>
      <c r="E23" s="264"/>
    </row>
    <row r="24" spans="1:5">
      <c r="A24" s="262"/>
      <c r="B24" s="263"/>
      <c r="C24" s="264"/>
      <c r="D24" s="264"/>
      <c r="E24" s="264"/>
    </row>
    <row r="25" spans="1:5">
      <c r="A25" s="262"/>
      <c r="B25" s="263"/>
      <c r="C25" s="264"/>
      <c r="D25" s="264"/>
      <c r="E25" s="264"/>
    </row>
    <row r="26" spans="1:5">
      <c r="A26" s="262"/>
      <c r="B26" s="263"/>
      <c r="C26" s="264"/>
      <c r="D26" s="264"/>
      <c r="E26" s="264"/>
    </row>
    <row r="27" spans="1:5">
      <c r="A27" s="262"/>
      <c r="B27" s="263"/>
      <c r="C27" s="264"/>
      <c r="D27" s="264"/>
      <c r="E27" s="264"/>
    </row>
    <row r="28" spans="1:5">
      <c r="A28" s="262"/>
      <c r="B28" s="263"/>
      <c r="C28" s="264"/>
      <c r="D28" s="264"/>
      <c r="E28" s="264"/>
    </row>
    <row r="29" spans="1:5">
      <c r="A29" s="262"/>
      <c r="B29" s="263"/>
      <c r="C29" s="264"/>
      <c r="D29" s="264"/>
      <c r="E29" s="264"/>
    </row>
    <row r="30" spans="1:5">
      <c r="A30" s="262"/>
      <c r="B30" s="263"/>
      <c r="C30" s="264"/>
      <c r="D30" s="264"/>
      <c r="E30" s="264"/>
    </row>
    <row r="31" spans="1:5">
      <c r="A31" s="262"/>
      <c r="B31" s="263"/>
      <c r="C31" s="264"/>
      <c r="D31" s="264"/>
      <c r="E31" s="264"/>
    </row>
    <row r="32" spans="1:5">
      <c r="A32" s="262"/>
      <c r="B32" s="263"/>
      <c r="C32" s="264"/>
      <c r="D32" s="264"/>
      <c r="E32" s="264"/>
    </row>
    <row r="33" spans="1:5">
      <c r="A33" s="262"/>
      <c r="B33" s="263"/>
      <c r="C33" s="264"/>
      <c r="D33" s="264"/>
      <c r="E33" s="264"/>
    </row>
    <row r="34" spans="1:5">
      <c r="A34" s="262"/>
      <c r="B34" s="263"/>
      <c r="C34" s="264"/>
      <c r="D34" s="264"/>
      <c r="E34" s="264"/>
    </row>
    <row r="35" spans="1:5">
      <c r="A35" s="262"/>
      <c r="B35" s="263"/>
      <c r="C35" s="264"/>
      <c r="D35" s="264"/>
      <c r="E35" s="264"/>
    </row>
    <row r="36" spans="1:5">
      <c r="A36" s="262"/>
      <c r="B36" s="263"/>
      <c r="C36" s="264"/>
      <c r="D36" s="264"/>
      <c r="E36" s="264"/>
    </row>
    <row r="37" spans="1:5">
      <c r="A37" s="262"/>
      <c r="B37" s="263"/>
      <c r="C37" s="264"/>
      <c r="D37" s="264"/>
      <c r="E37" s="264"/>
    </row>
    <row r="38" spans="1:5">
      <c r="A38" s="262"/>
      <c r="B38" s="263"/>
      <c r="C38" s="264"/>
      <c r="D38" s="264"/>
      <c r="E38" s="264"/>
    </row>
    <row r="39" spans="1:5">
      <c r="A39" s="262"/>
      <c r="B39" s="263"/>
      <c r="C39" s="264"/>
      <c r="D39" s="264"/>
      <c r="E39" s="264"/>
    </row>
    <row r="40" spans="1:5">
      <c r="A40" s="262"/>
      <c r="B40" s="263"/>
      <c r="C40" s="264"/>
      <c r="D40" s="264"/>
      <c r="E40" s="264"/>
    </row>
    <row r="41" spans="1:5">
      <c r="A41" s="262"/>
      <c r="B41" s="263"/>
      <c r="C41" s="264"/>
      <c r="D41" s="264"/>
      <c r="E41" s="264"/>
    </row>
    <row r="42" spans="1:5">
      <c r="A42" s="262"/>
      <c r="B42" s="263"/>
      <c r="C42" s="264"/>
      <c r="D42" s="264"/>
      <c r="E42" s="264"/>
    </row>
    <row r="43" spans="1:5">
      <c r="A43" s="262"/>
      <c r="B43" s="263"/>
      <c r="C43" s="264"/>
      <c r="D43" s="264"/>
      <c r="E43" s="264"/>
    </row>
    <row r="44" spans="1:5">
      <c r="A44" s="262"/>
      <c r="B44" s="263"/>
      <c r="C44" s="264"/>
      <c r="D44" s="264"/>
      <c r="E44" s="264"/>
    </row>
    <row r="45" spans="1:5">
      <c r="A45" s="284"/>
      <c r="B45" s="285" t="s">
        <v>307</v>
      </c>
      <c r="C45" s="271"/>
      <c r="D45" s="271"/>
      <c r="E45" s="271"/>
    </row>
    <row r="46" spans="1:5">
      <c r="A46" s="262"/>
      <c r="B46" s="263"/>
      <c r="C46" s="264"/>
      <c r="D46" s="264"/>
      <c r="E46" s="264"/>
    </row>
    <row r="47" spans="1:5">
      <c r="A47" s="265" t="s">
        <v>250</v>
      </c>
      <c r="B47" s="268" t="s">
        <v>251</v>
      </c>
      <c r="C47" s="260"/>
      <c r="D47" s="260"/>
      <c r="E47" s="264"/>
    </row>
    <row r="48" spans="1:5">
      <c r="A48" s="265"/>
      <c r="B48" s="286" t="s">
        <v>71</v>
      </c>
      <c r="C48" s="287">
        <v>263</v>
      </c>
      <c r="D48" s="287"/>
      <c r="E48" s="261">
        <f>D48*C48</f>
        <v>0</v>
      </c>
    </row>
    <row r="49" spans="1:5">
      <c r="A49" s="262"/>
      <c r="B49" s="263"/>
      <c r="C49" s="264"/>
      <c r="D49" s="264"/>
      <c r="E49" s="264"/>
    </row>
    <row r="50" spans="1:5" ht="45">
      <c r="A50" s="265" t="s">
        <v>252</v>
      </c>
      <c r="B50" s="268" t="s">
        <v>253</v>
      </c>
      <c r="C50" s="260"/>
      <c r="D50" s="260"/>
      <c r="E50" s="264"/>
    </row>
    <row r="51" spans="1:5">
      <c r="A51" s="265"/>
      <c r="B51" s="286" t="s">
        <v>254</v>
      </c>
      <c r="C51" s="287">
        <v>1</v>
      </c>
      <c r="D51" s="287"/>
      <c r="E51" s="261">
        <f>D51*C51</f>
        <v>0</v>
      </c>
    </row>
    <row r="52" spans="1:5">
      <c r="A52" s="265"/>
      <c r="B52" s="263"/>
      <c r="C52" s="264"/>
      <c r="D52" s="264"/>
      <c r="E52" s="264"/>
    </row>
    <row r="53" spans="1:5" ht="60">
      <c r="A53" s="265" t="s">
        <v>255</v>
      </c>
      <c r="B53" s="288" t="s">
        <v>256</v>
      </c>
      <c r="C53" s="289"/>
      <c r="D53" s="289"/>
      <c r="E53" s="264"/>
    </row>
    <row r="54" spans="1:5">
      <c r="A54" s="265"/>
      <c r="B54" s="286" t="s">
        <v>254</v>
      </c>
      <c r="C54" s="287">
        <v>1</v>
      </c>
      <c r="D54" s="287"/>
      <c r="E54" s="261">
        <f>D54*C54</f>
        <v>0</v>
      </c>
    </row>
    <row r="55" spans="1:5">
      <c r="A55" s="262"/>
      <c r="B55" s="263"/>
      <c r="C55" s="264"/>
      <c r="D55" s="264"/>
      <c r="E55" s="264"/>
    </row>
    <row r="56" spans="1:5" ht="30">
      <c r="A56" s="265" t="s">
        <v>257</v>
      </c>
      <c r="B56" s="268" t="s">
        <v>258</v>
      </c>
      <c r="C56" s="260"/>
      <c r="D56" s="260"/>
      <c r="E56" s="264"/>
    </row>
    <row r="57" spans="1:5">
      <c r="A57" s="265"/>
      <c r="B57" s="286" t="s">
        <v>71</v>
      </c>
      <c r="C57" s="287">
        <v>263</v>
      </c>
      <c r="D57" s="287"/>
      <c r="E57" s="261">
        <f>D57*C57</f>
        <v>0</v>
      </c>
    </row>
    <row r="58" spans="1:5">
      <c r="A58" s="265"/>
      <c r="B58" s="263"/>
      <c r="C58" s="264"/>
      <c r="D58" s="264"/>
      <c r="E58" s="264"/>
    </row>
    <row r="59" spans="1:5" ht="45">
      <c r="A59" s="265" t="s">
        <v>259</v>
      </c>
      <c r="B59" s="288" t="s">
        <v>308</v>
      </c>
      <c r="C59" s="289"/>
      <c r="D59" s="289"/>
      <c r="E59" s="260"/>
    </row>
    <row r="60" spans="1:5">
      <c r="A60" s="265"/>
      <c r="B60" s="286" t="s">
        <v>59</v>
      </c>
      <c r="C60" s="287">
        <v>2</v>
      </c>
      <c r="D60" s="287"/>
      <c r="E60" s="261">
        <f>D60*C60</f>
        <v>0</v>
      </c>
    </row>
    <row r="61" spans="1:5">
      <c r="A61" s="265"/>
      <c r="B61" s="268"/>
      <c r="C61" s="260"/>
      <c r="D61" s="260"/>
      <c r="E61" s="260"/>
    </row>
    <row r="62" spans="1:5" ht="120">
      <c r="A62" s="265" t="s">
        <v>260</v>
      </c>
      <c r="B62" s="268" t="s">
        <v>261</v>
      </c>
      <c r="C62" s="260"/>
      <c r="D62" s="260"/>
      <c r="E62" s="264"/>
    </row>
    <row r="63" spans="1:5">
      <c r="A63" s="265"/>
      <c r="B63" s="268" t="s">
        <v>309</v>
      </c>
      <c r="C63" s="260"/>
      <c r="D63" s="260"/>
      <c r="E63" s="264"/>
    </row>
    <row r="64" spans="1:5" ht="18">
      <c r="A64" s="265"/>
      <c r="B64" s="286" t="s">
        <v>310</v>
      </c>
      <c r="C64" s="287">
        <v>5</v>
      </c>
      <c r="D64" s="287"/>
      <c r="E64" s="261">
        <f>D64*C64</f>
        <v>0</v>
      </c>
    </row>
    <row r="65" spans="1:5">
      <c r="A65" s="265"/>
      <c r="B65" s="268" t="s">
        <v>262</v>
      </c>
      <c r="C65" s="259"/>
      <c r="D65" s="259"/>
      <c r="E65" s="259"/>
    </row>
    <row r="66" spans="1:5" ht="18">
      <c r="A66" s="265"/>
      <c r="B66" s="286" t="s">
        <v>311</v>
      </c>
      <c r="C66" s="287">
        <v>2</v>
      </c>
      <c r="D66" s="287"/>
      <c r="E66" s="261">
        <f>D66*C66</f>
        <v>0</v>
      </c>
    </row>
    <row r="67" spans="1:5">
      <c r="A67" s="265"/>
      <c r="B67" s="263"/>
      <c r="C67" s="264"/>
      <c r="D67" s="264"/>
      <c r="E67" s="264"/>
    </row>
    <row r="68" spans="1:5" ht="173.25">
      <c r="A68" s="265" t="s">
        <v>263</v>
      </c>
      <c r="B68" s="290" t="s">
        <v>312</v>
      </c>
      <c r="C68" s="260"/>
      <c r="D68" s="260"/>
      <c r="E68" s="264"/>
    </row>
    <row r="69" spans="1:5">
      <c r="A69" s="265"/>
      <c r="B69" s="268" t="s">
        <v>296</v>
      </c>
      <c r="C69" s="260"/>
      <c r="D69" s="260"/>
      <c r="E69" s="264"/>
    </row>
    <row r="70" spans="1:5" ht="18">
      <c r="A70" s="265"/>
      <c r="B70" s="286" t="s">
        <v>310</v>
      </c>
      <c r="C70" s="287">
        <v>107</v>
      </c>
      <c r="D70" s="287"/>
      <c r="E70" s="261">
        <f>D70*C70</f>
        <v>0</v>
      </c>
    </row>
    <row r="71" spans="1:5">
      <c r="A71" s="265"/>
      <c r="B71" s="268" t="s">
        <v>297</v>
      </c>
      <c r="C71" s="259"/>
      <c r="D71" s="259"/>
      <c r="E71" s="259"/>
    </row>
    <row r="72" spans="1:5" ht="18">
      <c r="A72" s="265"/>
      <c r="B72" s="286" t="s">
        <v>311</v>
      </c>
      <c r="C72" s="287">
        <v>79</v>
      </c>
      <c r="D72" s="287"/>
      <c r="E72" s="261">
        <f>D72*C72</f>
        <v>0</v>
      </c>
    </row>
    <row r="73" spans="1:5">
      <c r="A73" s="265"/>
      <c r="B73" s="268" t="s">
        <v>313</v>
      </c>
      <c r="C73" s="259"/>
      <c r="D73" s="259"/>
      <c r="E73" s="259"/>
    </row>
    <row r="74" spans="1:5" ht="18">
      <c r="A74" s="265"/>
      <c r="B74" s="286" t="s">
        <v>311</v>
      </c>
      <c r="C74" s="287">
        <v>66</v>
      </c>
      <c r="D74" s="287"/>
      <c r="E74" s="261">
        <f>D74*C74</f>
        <v>0</v>
      </c>
    </row>
    <row r="75" spans="1:5">
      <c r="A75" s="265"/>
      <c r="B75" s="254"/>
      <c r="C75" s="259"/>
      <c r="D75" s="259"/>
      <c r="E75" s="259"/>
    </row>
    <row r="76" spans="1:5" ht="236.25">
      <c r="A76" s="265" t="s">
        <v>264</v>
      </c>
      <c r="B76" s="291" t="s">
        <v>314</v>
      </c>
      <c r="C76" s="289"/>
      <c r="D76" s="289"/>
      <c r="E76" s="264"/>
    </row>
    <row r="77" spans="1:5" ht="18">
      <c r="A77" s="265"/>
      <c r="B77" s="292" t="s">
        <v>310</v>
      </c>
      <c r="C77" s="287">
        <v>215</v>
      </c>
      <c r="D77" s="287"/>
      <c r="E77" s="261">
        <f>D77*C77</f>
        <v>0</v>
      </c>
    </row>
    <row r="78" spans="1:5">
      <c r="A78" s="265"/>
      <c r="B78" s="263"/>
      <c r="C78" s="264"/>
      <c r="D78" s="264"/>
      <c r="E78" s="264"/>
    </row>
    <row r="79" spans="1:5" ht="90">
      <c r="A79" s="265" t="s">
        <v>265</v>
      </c>
      <c r="B79" s="270" t="s">
        <v>315</v>
      </c>
      <c r="C79" s="258"/>
      <c r="D79" s="258"/>
      <c r="E79" s="264"/>
    </row>
    <row r="80" spans="1:5">
      <c r="A80" s="265"/>
      <c r="B80" s="275" t="s">
        <v>316</v>
      </c>
      <c r="C80" s="293"/>
      <c r="D80" s="260"/>
      <c r="E80" s="264"/>
    </row>
    <row r="81" spans="1:5">
      <c r="A81" s="265"/>
      <c r="B81" s="268" t="s">
        <v>317</v>
      </c>
      <c r="C81" s="260"/>
      <c r="D81" s="260"/>
      <c r="E81" s="264"/>
    </row>
    <row r="82" spans="1:5" ht="18">
      <c r="A82" s="265"/>
      <c r="B82" s="292" t="s">
        <v>310</v>
      </c>
      <c r="C82" s="287">
        <v>136</v>
      </c>
      <c r="D82" s="287"/>
      <c r="E82" s="261">
        <f>C82*D82</f>
        <v>0</v>
      </c>
    </row>
    <row r="83" spans="1:5">
      <c r="A83" s="265"/>
      <c r="B83" s="254"/>
      <c r="C83" s="259"/>
      <c r="D83" s="259"/>
      <c r="E83" s="259"/>
    </row>
    <row r="84" spans="1:5">
      <c r="A84" s="265"/>
      <c r="B84" s="268" t="s">
        <v>318</v>
      </c>
      <c r="C84" s="259"/>
      <c r="D84" s="259"/>
      <c r="E84" s="259"/>
    </row>
    <row r="85" spans="1:5" ht="18">
      <c r="A85" s="265"/>
      <c r="B85" s="292" t="s">
        <v>311</v>
      </c>
      <c r="C85" s="287">
        <v>103</v>
      </c>
      <c r="D85" s="287"/>
      <c r="E85" s="261">
        <f>D85*C85</f>
        <v>0</v>
      </c>
    </row>
    <row r="86" spans="1:5">
      <c r="A86" s="265"/>
      <c r="B86" s="254"/>
      <c r="C86" s="259"/>
      <c r="D86" s="259"/>
      <c r="E86" s="259"/>
    </row>
    <row r="87" spans="1:5">
      <c r="A87" s="265"/>
      <c r="B87" s="268" t="s">
        <v>319</v>
      </c>
      <c r="C87" s="259"/>
      <c r="D87" s="259"/>
      <c r="E87" s="259"/>
    </row>
    <row r="88" spans="1:5" ht="18">
      <c r="A88" s="265"/>
      <c r="B88" s="292" t="s">
        <v>311</v>
      </c>
      <c r="C88" s="287">
        <v>85</v>
      </c>
      <c r="D88" s="287"/>
      <c r="E88" s="261">
        <f>D88*C88</f>
        <v>0</v>
      </c>
    </row>
    <row r="89" spans="1:5">
      <c r="A89" s="265"/>
      <c r="B89" s="254"/>
      <c r="C89" s="259"/>
      <c r="D89" s="259"/>
      <c r="E89" s="259"/>
    </row>
    <row r="90" spans="1:5" ht="135">
      <c r="A90" s="265" t="s">
        <v>266</v>
      </c>
      <c r="B90" s="268" t="s">
        <v>267</v>
      </c>
      <c r="C90" s="260"/>
      <c r="D90" s="260"/>
      <c r="E90" s="264"/>
    </row>
    <row r="91" spans="1:5" ht="18">
      <c r="A91" s="265"/>
      <c r="B91" s="286" t="s">
        <v>310</v>
      </c>
      <c r="C91" s="287">
        <v>245</v>
      </c>
      <c r="D91" s="287"/>
      <c r="E91" s="261">
        <f>D91*C91</f>
        <v>0</v>
      </c>
    </row>
    <row r="92" spans="1:5">
      <c r="A92" s="265"/>
      <c r="B92" s="254"/>
      <c r="C92" s="259"/>
      <c r="D92" s="259"/>
      <c r="E92" s="259"/>
    </row>
    <row r="93" spans="1:5" ht="90">
      <c r="A93" s="265" t="s">
        <v>268</v>
      </c>
      <c r="B93" s="268" t="s">
        <v>320</v>
      </c>
      <c r="C93" s="260"/>
      <c r="D93" s="260"/>
      <c r="E93" s="264"/>
    </row>
    <row r="94" spans="1:5">
      <c r="A94" s="265"/>
      <c r="B94" s="288" t="s">
        <v>321</v>
      </c>
      <c r="C94" s="289"/>
      <c r="D94" s="289"/>
      <c r="E94" s="264"/>
    </row>
    <row r="95" spans="1:5" ht="18">
      <c r="A95" s="255"/>
      <c r="B95" s="286" t="s">
        <v>311</v>
      </c>
      <c r="C95" s="287">
        <v>85</v>
      </c>
      <c r="D95" s="287"/>
      <c r="E95" s="261">
        <f>D95*C95</f>
        <v>0</v>
      </c>
    </row>
    <row r="96" spans="1:5">
      <c r="A96" s="255"/>
      <c r="B96" s="254"/>
      <c r="C96" s="259"/>
      <c r="D96" s="259"/>
      <c r="E96" s="259"/>
    </row>
    <row r="97" spans="1:5" ht="105">
      <c r="A97" s="265" t="s">
        <v>272</v>
      </c>
      <c r="B97" s="268" t="s">
        <v>274</v>
      </c>
      <c r="C97" s="260"/>
      <c r="D97" s="260"/>
      <c r="E97" s="264"/>
    </row>
    <row r="98" spans="1:5">
      <c r="A98" s="265"/>
      <c r="B98" s="288" t="s">
        <v>275</v>
      </c>
      <c r="C98" s="289"/>
      <c r="D98" s="289"/>
      <c r="E98" s="264"/>
    </row>
    <row r="99" spans="1:5" ht="18">
      <c r="A99" s="265"/>
      <c r="B99" s="286" t="s">
        <v>322</v>
      </c>
      <c r="C99" s="287">
        <v>1500</v>
      </c>
      <c r="D99" s="287"/>
      <c r="E99" s="261">
        <f>D99*C99</f>
        <v>0</v>
      </c>
    </row>
    <row r="100" spans="1:5">
      <c r="A100" s="265"/>
      <c r="B100" s="294"/>
      <c r="C100" s="295"/>
      <c r="D100" s="295"/>
      <c r="E100" s="259"/>
    </row>
    <row r="101" spans="1:5">
      <c r="A101" s="265"/>
      <c r="B101" s="288" t="s">
        <v>276</v>
      </c>
      <c r="C101" s="289"/>
      <c r="D101" s="289"/>
      <c r="E101" s="264"/>
    </row>
    <row r="102" spans="1:5" ht="18">
      <c r="A102" s="265"/>
      <c r="B102" s="296" t="s">
        <v>322</v>
      </c>
      <c r="C102" s="297">
        <v>300</v>
      </c>
      <c r="D102" s="297"/>
      <c r="E102" s="261">
        <f>D102*C102</f>
        <v>0</v>
      </c>
    </row>
    <row r="103" spans="1:5">
      <c r="A103" s="265"/>
      <c r="B103" s="268"/>
      <c r="C103" s="260"/>
      <c r="D103" s="260"/>
      <c r="E103" s="260"/>
    </row>
    <row r="104" spans="1:5" ht="75">
      <c r="A104" s="265" t="s">
        <v>273</v>
      </c>
      <c r="B104" s="268" t="s">
        <v>301</v>
      </c>
      <c r="C104" s="260"/>
      <c r="D104" s="260"/>
      <c r="E104" s="264"/>
    </row>
    <row r="105" spans="1:5">
      <c r="A105" s="265"/>
      <c r="B105" s="263"/>
      <c r="C105" s="264"/>
      <c r="D105" s="264"/>
      <c r="E105" s="264"/>
    </row>
    <row r="106" spans="1:5" ht="18">
      <c r="A106" s="265"/>
      <c r="B106" s="286" t="s">
        <v>322</v>
      </c>
      <c r="C106" s="287">
        <v>65</v>
      </c>
      <c r="D106" s="287"/>
      <c r="E106" s="261">
        <f>D106*C106</f>
        <v>0</v>
      </c>
    </row>
    <row r="107" spans="1:5">
      <c r="A107" s="265"/>
      <c r="B107" s="263"/>
      <c r="C107" s="264"/>
      <c r="D107" s="264"/>
      <c r="E107" s="264"/>
    </row>
    <row r="108" spans="1:5" ht="60">
      <c r="A108" s="265" t="s">
        <v>277</v>
      </c>
      <c r="B108" s="288" t="s">
        <v>269</v>
      </c>
      <c r="C108" s="289"/>
      <c r="D108" s="289"/>
      <c r="E108" s="264"/>
    </row>
    <row r="109" spans="1:5">
      <c r="A109" s="265"/>
      <c r="B109" s="286" t="s">
        <v>270</v>
      </c>
      <c r="C109" s="287">
        <v>65</v>
      </c>
      <c r="D109" s="287"/>
      <c r="E109" s="261">
        <f>D109*C109</f>
        <v>0</v>
      </c>
    </row>
    <row r="110" spans="1:5">
      <c r="A110" s="265"/>
      <c r="B110" s="254"/>
      <c r="C110" s="259"/>
      <c r="D110" s="259"/>
      <c r="E110" s="259"/>
    </row>
    <row r="111" spans="1:5">
      <c r="A111" s="265"/>
      <c r="B111" s="286" t="s">
        <v>271</v>
      </c>
      <c r="C111" s="287">
        <v>65</v>
      </c>
      <c r="D111" s="287"/>
      <c r="E111" s="261">
        <f>D111*C111</f>
        <v>0</v>
      </c>
    </row>
    <row r="112" spans="1:5">
      <c r="A112" s="265"/>
      <c r="B112" s="263"/>
      <c r="C112" s="264"/>
      <c r="D112" s="264"/>
      <c r="E112" s="264"/>
    </row>
    <row r="113" spans="1:5" ht="45">
      <c r="A113" s="265" t="s">
        <v>279</v>
      </c>
      <c r="B113" s="288" t="s">
        <v>323</v>
      </c>
      <c r="C113" s="289"/>
      <c r="D113" s="289"/>
      <c r="E113" s="264"/>
    </row>
    <row r="114" spans="1:5">
      <c r="A114" s="265"/>
      <c r="B114" s="286" t="s">
        <v>71</v>
      </c>
      <c r="C114" s="287">
        <v>60</v>
      </c>
      <c r="D114" s="287"/>
      <c r="E114" s="261">
        <f>D114*C114</f>
        <v>0</v>
      </c>
    </row>
    <row r="115" spans="1:5">
      <c r="A115" s="265"/>
      <c r="B115" s="263"/>
      <c r="C115" s="264"/>
      <c r="D115" s="264"/>
      <c r="E115" s="264"/>
    </row>
    <row r="116" spans="1:5" ht="45">
      <c r="A116" s="265" t="s">
        <v>280</v>
      </c>
      <c r="B116" s="254" t="s">
        <v>324</v>
      </c>
      <c r="C116" s="259"/>
      <c r="D116" s="259"/>
      <c r="E116" s="264"/>
    </row>
    <row r="117" spans="1:5" ht="18">
      <c r="A117" s="265"/>
      <c r="B117" s="286" t="s">
        <v>322</v>
      </c>
      <c r="C117" s="287">
        <v>1500</v>
      </c>
      <c r="D117" s="287"/>
      <c r="E117" s="261">
        <f>D117*C117</f>
        <v>0</v>
      </c>
    </row>
    <row r="118" spans="1:5">
      <c r="A118" s="265"/>
      <c r="B118" s="254"/>
      <c r="C118" s="259"/>
      <c r="D118" s="259"/>
      <c r="E118" s="259"/>
    </row>
    <row r="119" spans="1:5" ht="75">
      <c r="A119" s="265" t="s">
        <v>281</v>
      </c>
      <c r="B119" s="268" t="s">
        <v>301</v>
      </c>
      <c r="C119" s="260"/>
      <c r="D119" s="260"/>
      <c r="E119" s="264"/>
    </row>
    <row r="120" spans="1:5">
      <c r="A120" s="265"/>
      <c r="B120" s="263">
        <v>150</v>
      </c>
      <c r="C120" s="264"/>
      <c r="D120" s="264"/>
      <c r="E120" s="264"/>
    </row>
    <row r="121" spans="1:5" ht="18">
      <c r="A121" s="265"/>
      <c r="B121" s="286" t="s">
        <v>322</v>
      </c>
      <c r="C121" s="287">
        <v>65</v>
      </c>
      <c r="D121" s="287"/>
      <c r="E121" s="261">
        <f>D121*C121</f>
        <v>0</v>
      </c>
    </row>
    <row r="122" spans="1:5">
      <c r="A122" s="265"/>
      <c r="B122" s="254"/>
      <c r="C122" s="259"/>
      <c r="D122" s="259"/>
      <c r="E122" s="259"/>
    </row>
    <row r="123" spans="1:5">
      <c r="A123" s="265"/>
      <c r="B123" s="254"/>
      <c r="C123" s="259"/>
      <c r="D123" s="259"/>
      <c r="E123" s="259"/>
    </row>
    <row r="124" spans="1:5">
      <c r="A124" s="265"/>
      <c r="B124" s="254"/>
      <c r="C124" s="259"/>
      <c r="D124" s="259"/>
      <c r="E124" s="259"/>
    </row>
    <row r="125" spans="1:5">
      <c r="A125" s="265"/>
      <c r="B125" s="263"/>
      <c r="C125" s="264"/>
      <c r="D125" s="264"/>
      <c r="E125" s="264"/>
    </row>
    <row r="126" spans="1:5" ht="60">
      <c r="A126" s="265" t="s">
        <v>282</v>
      </c>
      <c r="B126" s="288" t="s">
        <v>269</v>
      </c>
      <c r="C126" s="289"/>
      <c r="D126" s="289"/>
      <c r="E126" s="264"/>
    </row>
    <row r="127" spans="1:5">
      <c r="A127" s="265"/>
      <c r="B127" s="286" t="s">
        <v>270</v>
      </c>
      <c r="C127" s="287">
        <v>65</v>
      </c>
      <c r="D127" s="287"/>
      <c r="E127" s="261">
        <f>D127*C127</f>
        <v>0</v>
      </c>
    </row>
    <row r="128" spans="1:5">
      <c r="A128" s="265"/>
      <c r="B128" s="254"/>
      <c r="C128" s="259"/>
      <c r="D128" s="259"/>
      <c r="E128" s="259"/>
    </row>
    <row r="129" spans="1:5">
      <c r="A129" s="265"/>
      <c r="B129" s="286" t="s">
        <v>271</v>
      </c>
      <c r="C129" s="287">
        <v>64</v>
      </c>
      <c r="D129" s="287"/>
      <c r="E129" s="261">
        <f>D129*C129</f>
        <v>0</v>
      </c>
    </row>
    <row r="130" spans="1:5">
      <c r="A130" s="265"/>
      <c r="B130" s="263"/>
      <c r="C130" s="264"/>
      <c r="D130" s="264"/>
      <c r="E130" s="264"/>
    </row>
    <row r="131" spans="1:5" ht="45">
      <c r="A131" s="265" t="s">
        <v>298</v>
      </c>
      <c r="B131" s="288" t="s">
        <v>323</v>
      </c>
      <c r="C131" s="289"/>
      <c r="D131" s="289"/>
      <c r="E131" s="264"/>
    </row>
    <row r="132" spans="1:5">
      <c r="A132" s="265"/>
      <c r="B132" s="286" t="s">
        <v>71</v>
      </c>
      <c r="C132" s="287">
        <v>60</v>
      </c>
      <c r="D132" s="287"/>
      <c r="E132" s="261">
        <f>D132*C132</f>
        <v>0</v>
      </c>
    </row>
    <row r="133" spans="1:5">
      <c r="A133" s="265"/>
      <c r="B133" s="262"/>
      <c r="C133" s="298"/>
      <c r="D133" s="298"/>
      <c r="E133" s="298"/>
    </row>
    <row r="134" spans="1:5" ht="45">
      <c r="A134" s="265" t="s">
        <v>299</v>
      </c>
      <c r="B134" s="254" t="s">
        <v>324</v>
      </c>
      <c r="C134" s="259"/>
      <c r="D134" s="259"/>
      <c r="E134" s="264"/>
    </row>
    <row r="135" spans="1:5" ht="18">
      <c r="A135" s="265"/>
      <c r="B135" s="286" t="s">
        <v>322</v>
      </c>
      <c r="C135" s="287">
        <v>1500</v>
      </c>
      <c r="D135" s="287"/>
      <c r="E135" s="261">
        <f>D135*C135</f>
        <v>0</v>
      </c>
    </row>
    <row r="136" spans="1:5">
      <c r="A136" s="265"/>
      <c r="B136" s="254"/>
      <c r="C136" s="259"/>
      <c r="D136" s="259"/>
      <c r="E136" s="259"/>
    </row>
    <row r="137" spans="1:5" ht="45">
      <c r="A137" s="265" t="s">
        <v>300</v>
      </c>
      <c r="B137" s="275" t="s">
        <v>278</v>
      </c>
      <c r="C137" s="259"/>
      <c r="D137" s="259"/>
      <c r="E137" s="264"/>
    </row>
    <row r="138" spans="1:5">
      <c r="A138" s="262"/>
      <c r="B138" s="263">
        <v>122</v>
      </c>
      <c r="C138" s="264"/>
      <c r="D138" s="264"/>
      <c r="E138" s="264"/>
    </row>
    <row r="139" spans="1:5" ht="18">
      <c r="A139" s="265"/>
      <c r="B139" s="286" t="s">
        <v>322</v>
      </c>
      <c r="C139" s="287">
        <v>400</v>
      </c>
      <c r="D139" s="287"/>
      <c r="E139" s="261">
        <f>D139*C139</f>
        <v>0</v>
      </c>
    </row>
    <row r="140" spans="1:5" ht="16.5" thickBot="1">
      <c r="A140" s="265"/>
      <c r="B140" s="254"/>
      <c r="C140" s="259"/>
      <c r="D140" s="259"/>
      <c r="E140" s="299"/>
    </row>
    <row r="141" spans="1:5" ht="16.5" thickBot="1">
      <c r="A141" s="262"/>
      <c r="B141" s="300" t="s">
        <v>283</v>
      </c>
      <c r="C141" s="301"/>
      <c r="D141" s="302"/>
      <c r="E141" s="303">
        <f>SUM(E48:E140)</f>
        <v>0</v>
      </c>
    </row>
    <row r="142" spans="1:5">
      <c r="A142" s="265"/>
      <c r="B142" s="268"/>
      <c r="C142" s="260"/>
      <c r="D142" s="260"/>
      <c r="E142" s="260"/>
    </row>
    <row r="143" spans="1:5">
      <c r="A143" s="265"/>
      <c r="B143" s="268"/>
      <c r="C143" s="260"/>
      <c r="D143" s="260"/>
      <c r="E143" s="260"/>
    </row>
    <row r="144" spans="1:5">
      <c r="A144" s="265"/>
      <c r="B144" s="263"/>
      <c r="C144" s="264"/>
      <c r="D144" s="264"/>
      <c r="E144" s="264"/>
    </row>
    <row r="145" spans="1:5">
      <c r="A145" s="265"/>
      <c r="B145" s="263"/>
      <c r="C145" s="264"/>
      <c r="D145" s="264"/>
      <c r="E145" s="264"/>
    </row>
    <row r="146" spans="1:5">
      <c r="A146" s="255"/>
      <c r="B146" s="254"/>
      <c r="C146" s="259"/>
      <c r="D146" s="259"/>
      <c r="E146" s="299"/>
    </row>
    <row r="147" spans="1:5">
      <c r="A147" s="255"/>
      <c r="B147" s="254"/>
      <c r="C147" s="259"/>
      <c r="D147" s="259"/>
      <c r="E147" s="299"/>
    </row>
    <row r="148" spans="1:5">
      <c r="A148" s="255"/>
      <c r="B148" s="254"/>
      <c r="C148" s="259"/>
      <c r="D148" s="259"/>
      <c r="E148" s="259"/>
    </row>
    <row r="149" spans="1:5">
      <c r="A149" s="255"/>
      <c r="B149" s="254"/>
      <c r="C149" s="259"/>
      <c r="D149" s="259"/>
      <c r="E149" s="259"/>
    </row>
    <row r="150" spans="1:5">
      <c r="A150" s="255"/>
      <c r="B150" s="254"/>
      <c r="C150" s="259"/>
      <c r="D150" s="259"/>
      <c r="E150" s="299"/>
    </row>
    <row r="151" spans="1:5">
      <c r="A151" s="255"/>
      <c r="B151" s="254"/>
      <c r="C151" s="259"/>
      <c r="D151" s="259"/>
      <c r="E151" s="259"/>
    </row>
    <row r="152" spans="1:5">
      <c r="A152" s="255"/>
      <c r="B152" s="254"/>
      <c r="C152" s="259"/>
      <c r="D152" s="259"/>
      <c r="E152" s="259"/>
    </row>
    <row r="153" spans="1:5">
      <c r="A153" s="255"/>
      <c r="B153" s="254"/>
      <c r="C153" s="259"/>
      <c r="D153" s="259"/>
      <c r="E153" s="259"/>
    </row>
    <row r="154" spans="1:5">
      <c r="A154" s="265"/>
      <c r="B154" s="285" t="s">
        <v>325</v>
      </c>
      <c r="C154" s="271"/>
      <c r="D154" s="271"/>
      <c r="E154" s="264"/>
    </row>
    <row r="155" spans="1:5">
      <c r="A155" s="262"/>
      <c r="B155" s="263"/>
      <c r="C155" s="264"/>
      <c r="D155" s="264"/>
      <c r="E155" s="264"/>
    </row>
    <row r="156" spans="1:5" ht="90">
      <c r="A156" s="265" t="s">
        <v>250</v>
      </c>
      <c r="B156" s="268" t="s">
        <v>284</v>
      </c>
      <c r="C156" s="260"/>
      <c r="D156" s="260"/>
      <c r="E156" s="264"/>
    </row>
    <row r="157" spans="1:5">
      <c r="A157" s="265"/>
      <c r="B157" s="268" t="s">
        <v>326</v>
      </c>
      <c r="C157" s="260"/>
      <c r="D157" s="260"/>
      <c r="E157" s="264"/>
    </row>
    <row r="158" spans="1:5">
      <c r="A158" s="265"/>
      <c r="B158" s="286" t="s">
        <v>71</v>
      </c>
      <c r="C158" s="287">
        <v>263</v>
      </c>
      <c r="D158" s="261"/>
      <c r="E158" s="261">
        <f>C158*D158</f>
        <v>0</v>
      </c>
    </row>
    <row r="159" spans="1:5">
      <c r="A159" s="265"/>
      <c r="B159" s="254"/>
      <c r="C159" s="259"/>
      <c r="D159" s="259"/>
      <c r="E159" s="259"/>
    </row>
    <row r="160" spans="1:5" ht="120">
      <c r="A160" s="265" t="s">
        <v>252</v>
      </c>
      <c r="B160" s="268" t="s">
        <v>285</v>
      </c>
      <c r="C160" s="260"/>
      <c r="D160" s="260"/>
      <c r="E160" s="264"/>
    </row>
    <row r="161" spans="1:5">
      <c r="A161" s="265"/>
      <c r="B161" s="268" t="s">
        <v>326</v>
      </c>
      <c r="C161" s="260"/>
      <c r="D161" s="260"/>
      <c r="E161" s="264"/>
    </row>
    <row r="162" spans="1:5">
      <c r="A162" s="265"/>
      <c r="B162" s="286" t="s">
        <v>71</v>
      </c>
      <c r="C162" s="287">
        <v>263</v>
      </c>
      <c r="D162" s="261"/>
      <c r="E162" s="261">
        <f>D162*C162</f>
        <v>0</v>
      </c>
    </row>
    <row r="163" spans="1:5">
      <c r="A163" s="265"/>
      <c r="B163" s="268"/>
      <c r="C163" s="260"/>
      <c r="D163" s="260"/>
      <c r="E163" s="264"/>
    </row>
    <row r="164" spans="1:5" ht="45">
      <c r="A164" s="265" t="s">
        <v>255</v>
      </c>
      <c r="B164" s="268" t="s">
        <v>286</v>
      </c>
      <c r="C164" s="260"/>
      <c r="D164" s="260"/>
      <c r="E164" s="264"/>
    </row>
    <row r="165" spans="1:5">
      <c r="A165" s="265"/>
      <c r="B165" s="268" t="s">
        <v>327</v>
      </c>
      <c r="C165" s="260"/>
      <c r="D165" s="260"/>
      <c r="E165" s="264"/>
    </row>
    <row r="166" spans="1:5">
      <c r="A166" s="265"/>
      <c r="B166" s="286" t="s">
        <v>59</v>
      </c>
      <c r="C166" s="287">
        <v>1</v>
      </c>
      <c r="D166" s="261"/>
      <c r="E166" s="261">
        <f>D166*C166</f>
        <v>0</v>
      </c>
    </row>
    <row r="167" spans="1:5">
      <c r="A167" s="265"/>
      <c r="B167" s="254"/>
      <c r="C167" s="259"/>
      <c r="D167" s="259"/>
      <c r="E167" s="259"/>
    </row>
    <row r="168" spans="1:5">
      <c r="A168" s="265"/>
      <c r="B168" s="268" t="s">
        <v>328</v>
      </c>
      <c r="C168" s="260"/>
      <c r="D168" s="260"/>
      <c r="E168" s="264"/>
    </row>
    <row r="169" spans="1:5">
      <c r="A169" s="265"/>
      <c r="B169" s="286" t="s">
        <v>59</v>
      </c>
      <c r="C169" s="287">
        <v>2</v>
      </c>
      <c r="D169" s="261"/>
      <c r="E169" s="261">
        <f>D169*C169</f>
        <v>0</v>
      </c>
    </row>
    <row r="170" spans="1:5">
      <c r="A170" s="265"/>
      <c r="B170" s="254"/>
      <c r="C170" s="259"/>
      <c r="D170" s="259"/>
      <c r="E170" s="259"/>
    </row>
    <row r="171" spans="1:5" ht="30">
      <c r="A171" s="265"/>
      <c r="B171" s="268" t="s">
        <v>329</v>
      </c>
      <c r="C171" s="260"/>
      <c r="D171" s="260"/>
      <c r="E171" s="264"/>
    </row>
    <row r="172" spans="1:5">
      <c r="A172" s="265"/>
      <c r="B172" s="286" t="s">
        <v>59</v>
      </c>
      <c r="C172" s="287">
        <v>4</v>
      </c>
      <c r="D172" s="261"/>
      <c r="E172" s="261">
        <f>D172*C172</f>
        <v>0</v>
      </c>
    </row>
    <row r="173" spans="1:5">
      <c r="A173" s="265"/>
      <c r="B173" s="263"/>
      <c r="C173" s="264"/>
      <c r="D173" s="264"/>
      <c r="E173" s="264"/>
    </row>
    <row r="174" spans="1:5" ht="30">
      <c r="A174" s="265"/>
      <c r="B174" s="268" t="s">
        <v>330</v>
      </c>
      <c r="C174" s="260"/>
      <c r="D174" s="260"/>
      <c r="E174" s="264"/>
    </row>
    <row r="175" spans="1:5">
      <c r="A175" s="265"/>
      <c r="B175" s="286" t="s">
        <v>59</v>
      </c>
      <c r="C175" s="287">
        <v>8</v>
      </c>
      <c r="D175" s="261"/>
      <c r="E175" s="261">
        <f>D175*C175</f>
        <v>0</v>
      </c>
    </row>
    <row r="176" spans="1:5">
      <c r="A176" s="255"/>
      <c r="B176" s="254"/>
      <c r="C176" s="259"/>
      <c r="D176" s="259"/>
      <c r="E176" s="299"/>
    </row>
    <row r="177" spans="1:5" ht="60">
      <c r="A177" s="265" t="s">
        <v>257</v>
      </c>
      <c r="B177" s="268" t="s">
        <v>331</v>
      </c>
      <c r="C177" s="260"/>
      <c r="D177" s="260"/>
      <c r="E177" s="264"/>
    </row>
    <row r="178" spans="1:5">
      <c r="A178" s="265"/>
      <c r="B178" s="268" t="s">
        <v>332</v>
      </c>
      <c r="C178" s="260"/>
      <c r="D178" s="260"/>
      <c r="E178" s="264"/>
    </row>
    <row r="179" spans="1:5">
      <c r="A179" s="265"/>
      <c r="B179" s="286" t="s">
        <v>59</v>
      </c>
      <c r="C179" s="287">
        <v>4</v>
      </c>
      <c r="D179" s="261"/>
      <c r="E179" s="261">
        <f>D179*C179</f>
        <v>0</v>
      </c>
    </row>
    <row r="180" spans="1:5">
      <c r="A180" s="265"/>
      <c r="B180" s="263"/>
      <c r="C180" s="264"/>
      <c r="D180" s="264"/>
      <c r="E180" s="264"/>
    </row>
    <row r="181" spans="1:5">
      <c r="A181" s="265"/>
      <c r="B181" s="268" t="s">
        <v>333</v>
      </c>
      <c r="C181" s="260"/>
      <c r="D181" s="260"/>
      <c r="E181" s="264"/>
    </row>
    <row r="182" spans="1:5">
      <c r="A182" s="265"/>
      <c r="B182" s="286" t="s">
        <v>59</v>
      </c>
      <c r="C182" s="287">
        <v>5</v>
      </c>
      <c r="D182" s="261"/>
      <c r="E182" s="261">
        <f>D182*C182</f>
        <v>0</v>
      </c>
    </row>
    <row r="183" spans="1:5">
      <c r="A183" s="265"/>
      <c r="B183" s="263"/>
      <c r="C183" s="264"/>
      <c r="D183" s="264"/>
      <c r="E183" s="264"/>
    </row>
    <row r="184" spans="1:5">
      <c r="A184" s="265"/>
      <c r="B184" s="268" t="s">
        <v>334</v>
      </c>
      <c r="C184" s="260"/>
      <c r="D184" s="260"/>
      <c r="E184" s="264"/>
    </row>
    <row r="185" spans="1:5">
      <c r="A185" s="265"/>
      <c r="B185" s="286" t="s">
        <v>59</v>
      </c>
      <c r="C185" s="287">
        <v>1</v>
      </c>
      <c r="D185" s="261"/>
      <c r="E185" s="261">
        <f>D185*C185</f>
        <v>0</v>
      </c>
    </row>
    <row r="186" spans="1:5">
      <c r="A186" s="265"/>
      <c r="B186" s="254"/>
      <c r="C186" s="259"/>
      <c r="D186" s="259"/>
      <c r="E186" s="259"/>
    </row>
    <row r="187" spans="1:5">
      <c r="A187" s="265"/>
      <c r="B187" s="263"/>
      <c r="C187" s="264"/>
      <c r="D187" s="264"/>
      <c r="E187" s="264"/>
    </row>
    <row r="188" spans="1:5">
      <c r="A188" s="265"/>
      <c r="B188" s="268" t="s">
        <v>335</v>
      </c>
      <c r="C188" s="260"/>
      <c r="D188" s="260"/>
      <c r="E188" s="264"/>
    </row>
    <row r="189" spans="1:5">
      <c r="A189" s="265"/>
      <c r="B189" s="286" t="s">
        <v>59</v>
      </c>
      <c r="C189" s="287">
        <v>2</v>
      </c>
      <c r="D189" s="261"/>
      <c r="E189" s="261">
        <f>D189*C189</f>
        <v>0</v>
      </c>
    </row>
    <row r="190" spans="1:5">
      <c r="A190" s="265"/>
      <c r="B190" s="254"/>
      <c r="C190" s="259"/>
      <c r="D190" s="259"/>
      <c r="E190" s="259"/>
    </row>
    <row r="191" spans="1:5">
      <c r="A191" s="265"/>
      <c r="B191" s="268" t="s">
        <v>336</v>
      </c>
      <c r="C191" s="260"/>
      <c r="D191" s="260"/>
      <c r="E191" s="264"/>
    </row>
    <row r="192" spans="1:5">
      <c r="A192" s="265"/>
      <c r="B192" s="286" t="s">
        <v>59</v>
      </c>
      <c r="C192" s="287">
        <v>1</v>
      </c>
      <c r="D192" s="261"/>
      <c r="E192" s="261">
        <f>D192*C192</f>
        <v>0</v>
      </c>
    </row>
    <row r="193" spans="1:5">
      <c r="A193" s="265"/>
      <c r="B193" s="254"/>
      <c r="C193" s="259"/>
      <c r="D193" s="259"/>
      <c r="E193" s="259"/>
    </row>
    <row r="194" spans="1:5" ht="90">
      <c r="A194" s="265" t="s">
        <v>259</v>
      </c>
      <c r="B194" s="268" t="s">
        <v>337</v>
      </c>
      <c r="C194" s="260"/>
      <c r="D194" s="260"/>
      <c r="E194" s="264"/>
    </row>
    <row r="195" spans="1:5">
      <c r="A195" s="265"/>
      <c r="B195" s="288" t="s">
        <v>287</v>
      </c>
      <c r="C195" s="289"/>
      <c r="D195" s="289"/>
      <c r="E195" s="264"/>
    </row>
    <row r="196" spans="1:5">
      <c r="A196" s="265"/>
      <c r="B196" s="286" t="s">
        <v>59</v>
      </c>
      <c r="C196" s="287">
        <v>1</v>
      </c>
      <c r="D196" s="261"/>
      <c r="E196" s="261">
        <f>D196*C196</f>
        <v>0</v>
      </c>
    </row>
    <row r="197" spans="1:5">
      <c r="A197" s="262"/>
      <c r="B197" s="262"/>
      <c r="C197" s="298"/>
      <c r="D197" s="298"/>
      <c r="E197" s="298"/>
    </row>
    <row r="198" spans="1:5">
      <c r="A198" s="262" t="s">
        <v>263</v>
      </c>
      <c r="B198" s="256" t="s">
        <v>290</v>
      </c>
      <c r="C198" s="304"/>
      <c r="D198" s="304"/>
      <c r="E198" s="305"/>
    </row>
    <row r="199" spans="1:5" ht="30">
      <c r="A199" s="262"/>
      <c r="B199" s="257" t="s">
        <v>338</v>
      </c>
      <c r="C199" s="304"/>
      <c r="D199" s="304"/>
      <c r="E199" s="305"/>
    </row>
    <row r="200" spans="1:5">
      <c r="A200" s="265"/>
      <c r="B200" s="253" t="s">
        <v>59</v>
      </c>
      <c r="C200" s="306">
        <v>2</v>
      </c>
      <c r="D200" s="306"/>
      <c r="E200" s="307">
        <f>D200*C200</f>
        <v>0</v>
      </c>
    </row>
    <row r="201" spans="1:5">
      <c r="A201" s="255"/>
      <c r="B201" s="254"/>
      <c r="C201" s="259"/>
      <c r="D201" s="259"/>
      <c r="E201" s="259"/>
    </row>
    <row r="202" spans="1:5" ht="90">
      <c r="A202" s="265" t="s">
        <v>264</v>
      </c>
      <c r="B202" s="265" t="s">
        <v>339</v>
      </c>
      <c r="C202" s="308"/>
      <c r="D202" s="308"/>
      <c r="E202" s="264"/>
    </row>
    <row r="203" spans="1:5">
      <c r="A203" s="265"/>
      <c r="B203" s="309" t="s">
        <v>289</v>
      </c>
      <c r="C203" s="310"/>
      <c r="D203" s="310"/>
      <c r="E203" s="264"/>
    </row>
    <row r="204" spans="1:5">
      <c r="A204" s="265"/>
      <c r="B204" s="311" t="s">
        <v>59</v>
      </c>
      <c r="C204" s="312">
        <v>3</v>
      </c>
      <c r="D204" s="313"/>
      <c r="E204" s="261">
        <f>D204*C204</f>
        <v>0</v>
      </c>
    </row>
    <row r="205" spans="1:5">
      <c r="A205" s="255"/>
      <c r="B205" s="254"/>
      <c r="C205" s="259"/>
      <c r="D205" s="259"/>
      <c r="E205" s="259"/>
    </row>
    <row r="206" spans="1:5" ht="92.25">
      <c r="A206" s="314" t="s">
        <v>265</v>
      </c>
      <c r="B206" s="314" t="s">
        <v>340</v>
      </c>
      <c r="C206" s="315"/>
      <c r="D206" s="315"/>
      <c r="E206" s="316"/>
    </row>
    <row r="207" spans="1:5">
      <c r="A207" s="265"/>
      <c r="B207" s="317" t="s">
        <v>288</v>
      </c>
      <c r="C207" s="318"/>
      <c r="D207" s="318"/>
      <c r="E207" s="264"/>
    </row>
    <row r="208" spans="1:5">
      <c r="A208" s="265"/>
      <c r="B208" s="311" t="s">
        <v>59</v>
      </c>
      <c r="C208" s="312">
        <v>1</v>
      </c>
      <c r="D208" s="313"/>
      <c r="E208" s="261">
        <f>D208*C208</f>
        <v>0</v>
      </c>
    </row>
    <row r="209" spans="1:5">
      <c r="A209" s="265"/>
      <c r="B209" s="254"/>
      <c r="C209" s="259"/>
      <c r="D209" s="259"/>
      <c r="E209" s="259"/>
    </row>
    <row r="210" spans="1:5" ht="30">
      <c r="A210" s="265" t="s">
        <v>266</v>
      </c>
      <c r="B210" s="268" t="s">
        <v>291</v>
      </c>
      <c r="C210" s="260"/>
      <c r="D210" s="260"/>
      <c r="E210" s="264"/>
    </row>
    <row r="211" spans="1:5">
      <c r="A211" s="265"/>
      <c r="B211" s="288" t="s">
        <v>292</v>
      </c>
      <c r="C211" s="289"/>
      <c r="D211" s="289"/>
      <c r="E211" s="264"/>
    </row>
    <row r="212" spans="1:5">
      <c r="A212" s="265"/>
      <c r="B212" s="286" t="s">
        <v>59</v>
      </c>
      <c r="C212" s="287">
        <v>1</v>
      </c>
      <c r="D212" s="261"/>
      <c r="E212" s="261">
        <f>D212*C212</f>
        <v>0</v>
      </c>
    </row>
    <row r="213" spans="1:5">
      <c r="A213" s="265"/>
      <c r="B213" s="254"/>
      <c r="C213" s="259"/>
      <c r="D213" s="259"/>
      <c r="E213" s="259"/>
    </row>
    <row r="214" spans="1:5">
      <c r="A214" s="265"/>
      <c r="B214" s="288" t="s">
        <v>293</v>
      </c>
      <c r="C214" s="289"/>
      <c r="D214" s="289"/>
      <c r="E214" s="264"/>
    </row>
    <row r="215" spans="1:5">
      <c r="A215" s="265"/>
      <c r="B215" s="286" t="s">
        <v>59</v>
      </c>
      <c r="C215" s="287">
        <v>2</v>
      </c>
      <c r="D215" s="261"/>
      <c r="E215" s="261">
        <f>D215*C215</f>
        <v>0</v>
      </c>
    </row>
    <row r="216" spans="1:5">
      <c r="A216" s="265"/>
      <c r="B216" s="254"/>
      <c r="C216" s="259"/>
      <c r="D216" s="259"/>
      <c r="E216" s="259"/>
    </row>
    <row r="217" spans="1:5">
      <c r="A217" s="265"/>
      <c r="B217" s="288" t="s">
        <v>294</v>
      </c>
      <c r="C217" s="289"/>
      <c r="D217" s="289"/>
      <c r="E217" s="264"/>
    </row>
    <row r="218" spans="1:5">
      <c r="A218" s="265"/>
      <c r="B218" s="286" t="s">
        <v>59</v>
      </c>
      <c r="C218" s="287">
        <v>3</v>
      </c>
      <c r="D218" s="261"/>
      <c r="E218" s="261">
        <f>D218*C218</f>
        <v>0</v>
      </c>
    </row>
    <row r="219" spans="1:5">
      <c r="A219" s="265"/>
      <c r="B219" s="254"/>
      <c r="C219" s="259"/>
      <c r="D219" s="259"/>
      <c r="E219" s="259"/>
    </row>
    <row r="220" spans="1:5">
      <c r="A220" s="265"/>
      <c r="B220" s="254"/>
      <c r="C220" s="259"/>
      <c r="D220" s="259"/>
      <c r="E220" s="259"/>
    </row>
    <row r="221" spans="1:5">
      <c r="A221" s="265"/>
      <c r="B221" s="254"/>
      <c r="C221" s="259"/>
      <c r="D221" s="259"/>
      <c r="E221" s="259"/>
    </row>
    <row r="222" spans="1:5">
      <c r="A222" s="265"/>
      <c r="B222" s="254"/>
      <c r="C222" s="259"/>
      <c r="D222" s="259"/>
      <c r="E222" s="259"/>
    </row>
    <row r="223" spans="1:5" ht="60">
      <c r="A223" s="265" t="s">
        <v>268</v>
      </c>
      <c r="B223" s="268" t="s">
        <v>341</v>
      </c>
      <c r="C223" s="260"/>
      <c r="D223" s="260"/>
      <c r="E223" s="264"/>
    </row>
    <row r="224" spans="1:5">
      <c r="A224" s="265"/>
      <c r="B224" s="268" t="s">
        <v>342</v>
      </c>
      <c r="C224" s="260"/>
      <c r="D224" s="260"/>
      <c r="E224" s="264"/>
    </row>
    <row r="225" spans="1:5">
      <c r="A225" s="265"/>
      <c r="B225" s="286" t="s">
        <v>59</v>
      </c>
      <c r="C225" s="287">
        <v>6</v>
      </c>
      <c r="D225" s="261"/>
      <c r="E225" s="261">
        <f>D225*C225</f>
        <v>0</v>
      </c>
    </row>
    <row r="226" spans="1:5">
      <c r="A226" s="265"/>
      <c r="B226" s="254"/>
      <c r="C226" s="259"/>
      <c r="D226" s="259"/>
      <c r="E226" s="259"/>
    </row>
    <row r="227" spans="1:5" ht="75">
      <c r="A227" s="265" t="s">
        <v>272</v>
      </c>
      <c r="B227" s="268" t="s">
        <v>302</v>
      </c>
      <c r="C227" s="260"/>
      <c r="D227" s="260"/>
      <c r="E227" s="264"/>
    </row>
    <row r="228" spans="1:5">
      <c r="A228" s="265"/>
      <c r="B228" s="286" t="s">
        <v>71</v>
      </c>
      <c r="C228" s="287">
        <v>263</v>
      </c>
      <c r="D228" s="261"/>
      <c r="E228" s="261">
        <f>D228*C228</f>
        <v>0</v>
      </c>
    </row>
    <row r="229" spans="1:5">
      <c r="A229" s="265"/>
      <c r="B229" s="254"/>
      <c r="C229" s="259"/>
      <c r="D229" s="259"/>
      <c r="E229" s="259"/>
    </row>
    <row r="230" spans="1:5" ht="75">
      <c r="A230" s="265" t="s">
        <v>273</v>
      </c>
      <c r="B230" s="268" t="s">
        <v>343</v>
      </c>
      <c r="C230" s="260"/>
      <c r="D230" s="260"/>
      <c r="E230" s="264"/>
    </row>
    <row r="231" spans="1:5">
      <c r="A231" s="265"/>
      <c r="B231" s="286" t="s">
        <v>71</v>
      </c>
      <c r="C231" s="287">
        <v>263</v>
      </c>
      <c r="D231" s="261"/>
      <c r="E231" s="261">
        <f>D231*C231</f>
        <v>0</v>
      </c>
    </row>
    <row r="232" spans="1:5">
      <c r="A232" s="265"/>
      <c r="B232" s="254"/>
      <c r="C232" s="259"/>
      <c r="D232" s="259"/>
      <c r="E232" s="259"/>
    </row>
    <row r="233" spans="1:5" ht="45">
      <c r="A233" s="265" t="s">
        <v>277</v>
      </c>
      <c r="B233" s="268" t="s">
        <v>295</v>
      </c>
      <c r="C233" s="260"/>
      <c r="D233" s="260"/>
      <c r="E233" s="264"/>
    </row>
    <row r="234" spans="1:5">
      <c r="A234" s="265"/>
      <c r="B234" s="286" t="s">
        <v>71</v>
      </c>
      <c r="C234" s="287">
        <v>263</v>
      </c>
      <c r="D234" s="261"/>
      <c r="E234" s="261">
        <f>D234*C234</f>
        <v>0</v>
      </c>
    </row>
    <row r="235" spans="1:5">
      <c r="A235" s="265"/>
      <c r="B235" s="254"/>
      <c r="C235" s="259"/>
      <c r="D235" s="259"/>
      <c r="E235" s="259"/>
    </row>
    <row r="236" spans="1:5" ht="60">
      <c r="A236" s="319" t="s">
        <v>279</v>
      </c>
      <c r="B236" s="323" t="s">
        <v>346</v>
      </c>
      <c r="C236" s="299"/>
      <c r="D236" s="299"/>
      <c r="E236" s="299"/>
    </row>
    <row r="237" spans="1:5">
      <c r="A237" s="319"/>
      <c r="B237" s="323"/>
      <c r="C237" s="299"/>
      <c r="D237" s="299"/>
      <c r="E237" s="299"/>
    </row>
    <row r="238" spans="1:5">
      <c r="A238" s="319"/>
      <c r="B238" s="323"/>
      <c r="C238" s="299"/>
      <c r="D238" s="299"/>
      <c r="E238" s="299"/>
    </row>
    <row r="239" spans="1:5">
      <c r="A239" s="319"/>
      <c r="B239" s="324" t="s">
        <v>254</v>
      </c>
      <c r="C239" s="325">
        <v>1</v>
      </c>
      <c r="D239" s="325">
        <f>E234+E231+E228+E225+E218+E215+E212+E208+E204+E200+E196+E192+E189+E185++E182+E175++E179+E172+E169+E162+E158*0.05</f>
        <v>0</v>
      </c>
      <c r="E239" s="325">
        <f>C239*D239</f>
        <v>0</v>
      </c>
    </row>
    <row r="240" spans="1:5" ht="16.5" thickBot="1">
      <c r="A240" s="319"/>
      <c r="B240" s="323"/>
      <c r="C240" s="299"/>
      <c r="D240" s="299"/>
      <c r="E240" s="299"/>
    </row>
    <row r="241" spans="1:5" ht="16.5" thickBot="1">
      <c r="A241" s="265"/>
      <c r="B241" s="300" t="s">
        <v>344</v>
      </c>
      <c r="C241" s="301"/>
      <c r="D241" s="301"/>
      <c r="E241" s="303">
        <f>SUM(E158:E239)</f>
        <v>0</v>
      </c>
    </row>
    <row r="242" spans="1:5">
      <c r="A242" s="255"/>
      <c r="B242" s="254"/>
      <c r="C242" s="259"/>
      <c r="D242" s="259"/>
      <c r="E242" s="259"/>
    </row>
    <row r="243" spans="1:5">
      <c r="A243" s="255"/>
      <c r="B243" s="266"/>
      <c r="C243" s="267"/>
      <c r="D243" s="267"/>
      <c r="E243" s="267"/>
    </row>
    <row r="244" spans="1:5">
      <c r="A244" s="255"/>
      <c r="B244" s="254"/>
      <c r="C244" s="259"/>
      <c r="D244" s="259"/>
      <c r="E244" s="264"/>
    </row>
    <row r="245" spans="1:5">
      <c r="A245" s="255"/>
      <c r="B245" s="320"/>
      <c r="C245" s="299"/>
      <c r="D245" s="299"/>
      <c r="E245" s="264"/>
    </row>
    <row r="246" spans="1:5">
      <c r="A246" s="255"/>
      <c r="B246" s="321"/>
      <c r="C246" s="322"/>
      <c r="D246" s="322"/>
      <c r="E246" s="298"/>
    </row>
    <row r="247" spans="1:5">
      <c r="A247" s="265"/>
      <c r="B247" s="263"/>
      <c r="C247" s="264"/>
      <c r="D247" s="264"/>
      <c r="E247" s="264"/>
    </row>
    <row r="248" spans="1:5">
      <c r="A248" s="265"/>
      <c r="B248" s="268"/>
      <c r="C248" s="260"/>
      <c r="D248" s="260"/>
      <c r="E248" s="260"/>
    </row>
    <row r="249" spans="1:5">
      <c r="A249" s="265"/>
      <c r="B249" s="268"/>
      <c r="C249" s="260"/>
      <c r="D249" s="260"/>
      <c r="E249" s="260"/>
    </row>
    <row r="250" spans="1:5">
      <c r="A250" s="265"/>
      <c r="B250" s="268"/>
      <c r="C250" s="260"/>
      <c r="D250" s="260"/>
      <c r="E250" s="260"/>
    </row>
    <row r="251" spans="1:5">
      <c r="A251" s="265"/>
      <c r="B251" s="263"/>
      <c r="C251" s="264"/>
      <c r="D251" s="264"/>
      <c r="E251" s="264"/>
    </row>
    <row r="252" spans="1:5">
      <c r="A252" s="265"/>
      <c r="B252" s="263"/>
      <c r="C252" s="264"/>
      <c r="D252" s="264"/>
      <c r="E252" s="264"/>
    </row>
    <row r="253" spans="1:5">
      <c r="A253" s="265"/>
      <c r="B253" s="262"/>
      <c r="C253" s="298"/>
      <c r="D253" s="298"/>
      <c r="E253" s="298"/>
    </row>
    <row r="254" spans="1:5">
      <c r="A254" s="262"/>
      <c r="B254" s="262"/>
      <c r="C254" s="298"/>
      <c r="D254" s="298"/>
      <c r="E254" s="298"/>
    </row>
    <row r="255" spans="1:5">
      <c r="A255" s="262"/>
      <c r="B255" s="262"/>
      <c r="C255" s="298"/>
      <c r="D255" s="298"/>
      <c r="E255" s="298"/>
    </row>
    <row r="256" spans="1:5">
      <c r="A256" s="262"/>
      <c r="B256" s="262"/>
      <c r="C256" s="298"/>
      <c r="D256" s="298"/>
      <c r="E256" s="298"/>
    </row>
    <row r="257" spans="1:5">
      <c r="A257" s="262"/>
      <c r="B257" s="262"/>
      <c r="C257" s="298"/>
      <c r="D257" s="298"/>
      <c r="E257" s="298"/>
    </row>
    <row r="258" spans="1:5">
      <c r="A258" s="262"/>
      <c r="B258" s="262"/>
      <c r="C258" s="298"/>
      <c r="D258" s="298"/>
      <c r="E258" s="298"/>
    </row>
    <row r="259" spans="1:5">
      <c r="A259" s="262"/>
      <c r="B259" s="262"/>
      <c r="C259" s="298"/>
      <c r="D259" s="298"/>
      <c r="E259" s="298"/>
    </row>
    <row r="260" spans="1:5">
      <c r="A260" s="262"/>
      <c r="B260" s="262"/>
      <c r="C260" s="298"/>
      <c r="D260" s="298"/>
      <c r="E260" s="298"/>
    </row>
    <row r="261" spans="1:5">
      <c r="A261" s="262"/>
      <c r="B261" s="262"/>
      <c r="C261" s="298"/>
      <c r="D261" s="298"/>
      <c r="E261" s="298"/>
    </row>
    <row r="262" spans="1:5">
      <c r="A262" s="262"/>
      <c r="B262" s="262"/>
      <c r="C262" s="298"/>
      <c r="D262" s="298"/>
      <c r="E262" s="298"/>
    </row>
    <row r="263" spans="1:5">
      <c r="A263" s="262"/>
      <c r="B263" s="262"/>
      <c r="C263" s="298"/>
      <c r="D263" s="298"/>
      <c r="E263" s="298"/>
    </row>
    <row r="264" spans="1:5">
      <c r="A264" s="262"/>
      <c r="B264" s="262"/>
      <c r="C264" s="298"/>
      <c r="D264" s="298"/>
      <c r="E264" s="298"/>
    </row>
    <row r="265" spans="1:5">
      <c r="A265" s="262"/>
      <c r="B265" s="262"/>
      <c r="C265" s="298"/>
      <c r="D265" s="298"/>
      <c r="E265" s="298"/>
    </row>
  </sheetData>
  <mergeCells count="4">
    <mergeCell ref="B12:D12"/>
    <mergeCell ref="C18:D18"/>
    <mergeCell ref="C19:D19"/>
    <mergeCell ref="C20:D20"/>
  </mergeCells>
  <pageMargins left="0.7" right="0.7" top="0.75" bottom="0.75" header="0.3" footer="0.3"/>
  <pageSetup paperSize="9" scale="83" orientation="portrait" r:id="rId1"/>
  <rowBreaks count="1" manualBreakCount="1">
    <brk id="205"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92"/>
  <sheetViews>
    <sheetView view="pageBreakPreview" topLeftCell="A24" zoomScale="60" zoomScaleNormal="100" workbookViewId="0">
      <selection activeCell="E46" sqref="E46:E183"/>
    </sheetView>
  </sheetViews>
  <sheetFormatPr defaultColWidth="8.6640625" defaultRowHeight="15.75"/>
  <cols>
    <col min="1" max="1" width="6.5546875" style="43" customWidth="1"/>
    <col min="2" max="2" width="27.44140625" style="53" customWidth="1"/>
    <col min="3" max="3" width="7.44140625" style="41" customWidth="1"/>
    <col min="4" max="4" width="1.109375" style="41" customWidth="1"/>
    <col min="5" max="5" width="11.109375" style="107" customWidth="1"/>
    <col min="6" max="6" width="3.44140625" style="41" customWidth="1"/>
    <col min="7" max="7" width="14" style="97" customWidth="1"/>
    <col min="8" max="8" width="3.6640625" style="38" customWidth="1"/>
    <col min="9" max="9" width="14.88671875" style="36" customWidth="1"/>
    <col min="10" max="10" width="8.6640625" style="37" customWidth="1"/>
    <col min="11" max="11" width="25.5546875" style="38" customWidth="1"/>
    <col min="12" max="12" width="15.5546875" style="38" customWidth="1"/>
    <col min="13" max="15" width="8.6640625" style="39" customWidth="1"/>
    <col min="16" max="16" width="8.6640625" style="38" customWidth="1"/>
    <col min="17" max="17" width="11.109375" style="82" customWidth="1"/>
    <col min="18" max="16384" width="8.6640625" style="38"/>
  </cols>
  <sheetData>
    <row r="1" spans="1:17" s="79" customFormat="1" ht="15.95" customHeight="1">
      <c r="A1" s="34"/>
      <c r="B1" s="35" t="s">
        <v>11</v>
      </c>
      <c r="C1" s="1" t="s">
        <v>123</v>
      </c>
      <c r="D1" s="33"/>
      <c r="E1" s="33"/>
      <c r="F1" s="2"/>
      <c r="G1" s="96"/>
      <c r="H1" s="78"/>
      <c r="Q1" s="90"/>
    </row>
    <row r="2" spans="1:17" s="79" customFormat="1" ht="15.95" customHeight="1">
      <c r="A2" s="34"/>
      <c r="B2" s="35"/>
      <c r="C2" s="1" t="s">
        <v>124</v>
      </c>
      <c r="D2" s="33"/>
      <c r="E2" s="33"/>
      <c r="F2" s="2"/>
      <c r="G2" s="96"/>
      <c r="H2" s="78"/>
      <c r="Q2" s="90"/>
    </row>
    <row r="3" spans="1:17" s="79" customFormat="1" ht="15.95" customHeight="1">
      <c r="A3" s="34"/>
      <c r="B3" s="35" t="s">
        <v>8</v>
      </c>
      <c r="C3" s="40" t="s">
        <v>183</v>
      </c>
      <c r="D3" s="33"/>
      <c r="E3" s="106"/>
      <c r="F3" s="2"/>
      <c r="G3" s="96"/>
      <c r="H3" s="78"/>
      <c r="Q3" s="90"/>
    </row>
    <row r="4" spans="1:17" s="79" customFormat="1">
      <c r="A4" s="34"/>
      <c r="B4" s="35" t="s">
        <v>12</v>
      </c>
      <c r="C4" s="40" t="s">
        <v>175</v>
      </c>
      <c r="D4" s="41"/>
      <c r="E4" s="107"/>
      <c r="F4" s="41"/>
      <c r="G4" s="97"/>
      <c r="Q4" s="82"/>
    </row>
    <row r="5" spans="1:17" s="79" customFormat="1">
      <c r="A5" s="34"/>
      <c r="B5" s="35" t="s">
        <v>13</v>
      </c>
      <c r="C5" s="1" t="s">
        <v>172</v>
      </c>
      <c r="D5" s="33"/>
      <c r="E5" s="106"/>
      <c r="F5" s="2"/>
      <c r="G5" s="97"/>
      <c r="Q5" s="90"/>
    </row>
    <row r="6" spans="1:17">
      <c r="A6" s="34"/>
      <c r="B6" s="35"/>
      <c r="C6" s="42" t="s">
        <v>173</v>
      </c>
    </row>
    <row r="7" spans="1:17">
      <c r="A7" s="34"/>
      <c r="B7" s="35"/>
      <c r="C7" s="42"/>
    </row>
    <row r="9" spans="1:17" ht="18">
      <c r="A9" s="43" t="s">
        <v>14</v>
      </c>
      <c r="B9" s="44" t="s">
        <v>52</v>
      </c>
      <c r="C9" s="45"/>
      <c r="D9" s="45"/>
      <c r="E9" s="108"/>
      <c r="F9" s="45"/>
      <c r="G9" s="98"/>
      <c r="Q9" s="83"/>
    </row>
    <row r="10" spans="1:17">
      <c r="B10" s="45"/>
      <c r="C10" s="45"/>
      <c r="D10" s="45"/>
      <c r="E10" s="108"/>
      <c r="F10" s="45"/>
      <c r="G10" s="98"/>
      <c r="Q10" s="83"/>
    </row>
    <row r="12" spans="1:17" s="7" customFormat="1">
      <c r="A12" s="8" t="s">
        <v>15</v>
      </c>
      <c r="B12" s="9" t="s">
        <v>16</v>
      </c>
      <c r="C12" s="46"/>
      <c r="E12" s="109"/>
      <c r="G12" s="99"/>
      <c r="I12" s="26"/>
      <c r="J12" s="22"/>
      <c r="M12" s="30"/>
      <c r="N12" s="30"/>
      <c r="O12" s="30"/>
      <c r="Q12" s="91"/>
    </row>
    <row r="13" spans="1:17" s="7" customFormat="1">
      <c r="A13" s="8"/>
      <c r="B13" s="9"/>
      <c r="C13" s="46"/>
      <c r="E13" s="109"/>
      <c r="G13" s="99"/>
      <c r="I13" s="26"/>
      <c r="J13" s="22"/>
      <c r="M13" s="30"/>
      <c r="N13" s="30"/>
      <c r="O13" s="30"/>
      <c r="Q13" s="91"/>
    </row>
    <row r="14" spans="1:17" s="7" customFormat="1">
      <c r="A14" s="47" t="s">
        <v>27</v>
      </c>
      <c r="B14" s="48" t="s">
        <v>26</v>
      </c>
      <c r="C14" s="49"/>
      <c r="D14" s="49"/>
      <c r="E14" s="110"/>
      <c r="F14" s="49"/>
      <c r="G14" s="209"/>
      <c r="H14" s="80"/>
      <c r="I14" s="26"/>
      <c r="J14" s="22"/>
      <c r="K14" s="119"/>
      <c r="M14" s="30"/>
      <c r="N14" s="30"/>
      <c r="O14" s="30"/>
      <c r="Q14" s="84"/>
    </row>
    <row r="15" spans="1:17">
      <c r="A15" s="47" t="s">
        <v>32</v>
      </c>
      <c r="B15" s="48" t="s">
        <v>17</v>
      </c>
      <c r="C15" s="49"/>
      <c r="D15" s="49"/>
      <c r="E15" s="110"/>
      <c r="F15" s="49"/>
      <c r="G15" s="209"/>
      <c r="H15" s="80"/>
      <c r="K15" s="116"/>
      <c r="Q15" s="84"/>
    </row>
    <row r="16" spans="1:17">
      <c r="A16" s="47" t="s">
        <v>42</v>
      </c>
      <c r="B16" s="48" t="s">
        <v>18</v>
      </c>
      <c r="C16" s="49"/>
      <c r="D16" s="49"/>
      <c r="E16" s="110"/>
      <c r="F16" s="49"/>
      <c r="G16" s="209"/>
      <c r="H16" s="80"/>
      <c r="K16" s="116"/>
      <c r="Q16" s="84"/>
    </row>
    <row r="17" spans="1:17">
      <c r="A17" s="47"/>
      <c r="B17" s="48"/>
      <c r="C17" s="49"/>
      <c r="D17" s="49"/>
      <c r="E17" s="110"/>
      <c r="F17" s="49"/>
      <c r="G17" s="100"/>
      <c r="K17" s="116"/>
      <c r="Q17" s="84"/>
    </row>
    <row r="18" spans="1:17" ht="16.5" thickBot="1">
      <c r="A18" s="47"/>
      <c r="B18" s="50" t="s">
        <v>53</v>
      </c>
      <c r="C18" s="51"/>
      <c r="D18" s="51"/>
      <c r="E18" s="111"/>
      <c r="F18" s="51"/>
      <c r="G18" s="210"/>
      <c r="H18" s="80"/>
      <c r="K18" s="117"/>
      <c r="Q18" s="85"/>
    </row>
    <row r="22" spans="1:17" ht="15.95" customHeight="1">
      <c r="B22" s="53" t="s">
        <v>81</v>
      </c>
      <c r="E22" s="458" t="s">
        <v>143</v>
      </c>
      <c r="F22" s="458"/>
      <c r="G22" s="458"/>
    </row>
    <row r="23" spans="1:17" ht="84.75" customHeight="1">
      <c r="B23" s="53" t="s">
        <v>84</v>
      </c>
      <c r="E23" s="458" t="s">
        <v>241</v>
      </c>
      <c r="F23" s="458"/>
      <c r="G23" s="458"/>
    </row>
    <row r="25" spans="1:17">
      <c r="B25" s="53" t="s">
        <v>82</v>
      </c>
    </row>
    <row r="26" spans="1:17" ht="63.75">
      <c r="B26" s="53" t="s">
        <v>83</v>
      </c>
    </row>
    <row r="33" spans="1:17">
      <c r="K33" s="53"/>
    </row>
    <row r="34" spans="1:17">
      <c r="K34" s="53"/>
    </row>
    <row r="38" spans="1:17">
      <c r="B38" s="53" t="s">
        <v>166</v>
      </c>
    </row>
    <row r="39" spans="1:17" s="7" customFormat="1">
      <c r="A39" s="43"/>
      <c r="B39" s="53"/>
      <c r="C39" s="41"/>
      <c r="D39" s="41"/>
      <c r="E39" s="107"/>
      <c r="F39" s="41"/>
      <c r="G39" s="97"/>
      <c r="H39" s="38"/>
      <c r="I39" s="26"/>
      <c r="J39" s="22"/>
      <c r="M39" s="30"/>
      <c r="N39" s="30"/>
      <c r="O39" s="30"/>
      <c r="Q39" s="82"/>
    </row>
    <row r="40" spans="1:17">
      <c r="A40" s="11" t="s">
        <v>19</v>
      </c>
      <c r="B40" s="9" t="s">
        <v>16</v>
      </c>
      <c r="C40" s="46"/>
      <c r="D40" s="7"/>
      <c r="E40" s="109"/>
      <c r="F40" s="7"/>
      <c r="G40" s="99"/>
      <c r="H40" s="7"/>
      <c r="Q40" s="91"/>
    </row>
    <row r="41" spans="1:17" s="7" customFormat="1">
      <c r="A41" s="43"/>
      <c r="B41" s="55"/>
      <c r="C41" s="56"/>
      <c r="D41" s="56"/>
      <c r="E41" s="112"/>
      <c r="F41" s="56"/>
      <c r="G41" s="101"/>
      <c r="H41" s="38"/>
      <c r="I41" s="26"/>
      <c r="J41" s="22"/>
      <c r="M41" s="30"/>
      <c r="N41" s="30"/>
      <c r="O41" s="30"/>
      <c r="Q41" s="86"/>
    </row>
    <row r="42" spans="1:17" s="7" customFormat="1">
      <c r="A42" s="11" t="s">
        <v>27</v>
      </c>
      <c r="B42" s="9" t="s">
        <v>26</v>
      </c>
      <c r="C42" s="46"/>
      <c r="E42" s="109"/>
      <c r="G42" s="99"/>
      <c r="I42" s="26"/>
      <c r="J42" s="22"/>
      <c r="M42" s="30"/>
      <c r="N42" s="30"/>
      <c r="O42" s="30"/>
      <c r="Q42" s="91"/>
    </row>
    <row r="43" spans="1:17" s="7" customFormat="1">
      <c r="A43" s="8"/>
      <c r="B43" s="9"/>
      <c r="C43" s="207" t="s">
        <v>170</v>
      </c>
      <c r="D43" s="203"/>
      <c r="E43" s="208" t="s">
        <v>171</v>
      </c>
      <c r="F43" s="203"/>
      <c r="G43" s="208" t="s">
        <v>164</v>
      </c>
      <c r="I43" s="26"/>
      <c r="J43" s="22"/>
      <c r="M43" s="30"/>
      <c r="N43" s="30"/>
      <c r="O43" s="30"/>
      <c r="Q43" s="91"/>
    </row>
    <row r="44" spans="1:17" s="17" customFormat="1" ht="39">
      <c r="A44" s="12" t="s">
        <v>28</v>
      </c>
      <c r="B44" s="13" t="s">
        <v>139</v>
      </c>
      <c r="C44" s="46"/>
      <c r="D44" s="7"/>
      <c r="E44" s="109"/>
      <c r="F44" s="7"/>
      <c r="G44" s="99"/>
      <c r="H44" s="7"/>
      <c r="I44" s="27"/>
      <c r="J44" s="23"/>
      <c r="M44" s="31"/>
      <c r="N44" s="31"/>
      <c r="O44" s="31"/>
      <c r="Q44" s="91"/>
    </row>
    <row r="45" spans="1:17" s="7" customFormat="1">
      <c r="A45" s="18"/>
      <c r="B45" s="13"/>
      <c r="C45" s="57"/>
      <c r="D45" s="17"/>
      <c r="E45" s="113"/>
      <c r="F45" s="17"/>
      <c r="G45" s="102"/>
      <c r="H45" s="17"/>
      <c r="I45" s="26"/>
      <c r="J45" s="22"/>
      <c r="M45" s="30"/>
      <c r="N45" s="30"/>
      <c r="O45" s="30"/>
      <c r="Q45" s="92"/>
    </row>
    <row r="46" spans="1:17" s="7" customFormat="1">
      <c r="A46" s="8"/>
      <c r="B46" s="52" t="s">
        <v>22</v>
      </c>
      <c r="C46" s="214">
        <v>114</v>
      </c>
      <c r="D46" s="41"/>
      <c r="E46" s="230"/>
      <c r="F46" s="81"/>
      <c r="G46" s="213"/>
      <c r="H46" s="81"/>
      <c r="I46" s="26"/>
      <c r="J46" s="22"/>
      <c r="M46" s="30"/>
      <c r="N46" s="30"/>
      <c r="O46" s="30"/>
      <c r="Q46" s="82"/>
    </row>
    <row r="47" spans="1:17" s="7" customFormat="1">
      <c r="A47" s="8"/>
      <c r="B47" s="14"/>
      <c r="C47" s="46"/>
      <c r="E47" s="231"/>
      <c r="G47" s="99"/>
      <c r="I47" s="26"/>
      <c r="J47" s="22"/>
      <c r="M47" s="30"/>
      <c r="N47" s="30"/>
      <c r="O47" s="30"/>
      <c r="Q47" s="91"/>
    </row>
    <row r="48" spans="1:17" s="19" customFormat="1" ht="76.5">
      <c r="A48" s="12" t="s">
        <v>30</v>
      </c>
      <c r="B48" s="127" t="s">
        <v>140</v>
      </c>
      <c r="C48" s="46"/>
      <c r="D48" s="7"/>
      <c r="E48" s="231"/>
      <c r="F48" s="7"/>
      <c r="G48" s="99"/>
      <c r="H48" s="7"/>
      <c r="I48" s="28"/>
      <c r="J48" s="24"/>
      <c r="K48" s="52"/>
      <c r="M48" s="32"/>
      <c r="N48" s="32"/>
      <c r="O48" s="32"/>
      <c r="Q48" s="91"/>
    </row>
    <row r="49" spans="1:17" s="7" customFormat="1">
      <c r="A49" s="20"/>
      <c r="B49" s="52"/>
      <c r="C49" s="58"/>
      <c r="D49" s="19"/>
      <c r="E49" s="231"/>
      <c r="F49" s="19"/>
      <c r="G49" s="103"/>
      <c r="H49" s="19"/>
      <c r="I49" s="26"/>
      <c r="J49" s="22"/>
      <c r="M49" s="30"/>
      <c r="N49" s="30"/>
      <c r="O49" s="30"/>
      <c r="Q49" s="93"/>
    </row>
    <row r="50" spans="1:17" s="7" customFormat="1">
      <c r="A50" s="8"/>
      <c r="B50" s="52" t="s">
        <v>55</v>
      </c>
      <c r="C50" s="214">
        <v>1</v>
      </c>
      <c r="D50" s="41"/>
      <c r="E50" s="232"/>
      <c r="F50" s="81"/>
      <c r="G50" s="213"/>
      <c r="H50" s="81"/>
      <c r="I50" s="26"/>
      <c r="J50" s="22"/>
      <c r="M50" s="30"/>
      <c r="N50" s="30"/>
      <c r="O50" s="30"/>
      <c r="Q50" s="82"/>
    </row>
    <row r="51" spans="1:17" s="7" customFormat="1">
      <c r="A51" s="8"/>
      <c r="B51" s="52"/>
      <c r="C51" s="41"/>
      <c r="D51" s="41"/>
      <c r="E51" s="231"/>
      <c r="F51" s="41"/>
      <c r="G51" s="97"/>
      <c r="H51" s="41"/>
      <c r="I51" s="26"/>
      <c r="J51" s="22"/>
      <c r="M51" s="30"/>
      <c r="N51" s="30"/>
      <c r="O51" s="30"/>
      <c r="Q51" s="82"/>
    </row>
    <row r="52" spans="1:17" s="19" customFormat="1" ht="57.75" customHeight="1">
      <c r="A52" s="12" t="s">
        <v>56</v>
      </c>
      <c r="B52" s="52" t="s">
        <v>68</v>
      </c>
      <c r="C52" s="41"/>
      <c r="D52" s="41"/>
      <c r="E52" s="231"/>
      <c r="F52" s="41"/>
      <c r="G52" s="97"/>
      <c r="H52" s="7"/>
      <c r="I52" s="28"/>
      <c r="J52" s="24"/>
      <c r="M52" s="32"/>
      <c r="N52" s="32"/>
      <c r="O52" s="32"/>
      <c r="Q52" s="82"/>
    </row>
    <row r="53" spans="1:17" s="7" customFormat="1">
      <c r="A53" s="20"/>
      <c r="B53" s="52"/>
      <c r="C53" s="59"/>
      <c r="D53" s="59"/>
      <c r="E53" s="231"/>
      <c r="F53" s="59"/>
      <c r="G53" s="104"/>
      <c r="H53" s="19"/>
      <c r="I53" s="26"/>
      <c r="J53" s="22"/>
      <c r="M53" s="30"/>
      <c r="N53" s="30"/>
      <c r="O53" s="30"/>
      <c r="Q53" s="87"/>
    </row>
    <row r="54" spans="1:17" s="7" customFormat="1">
      <c r="A54" s="8"/>
      <c r="B54" s="52" t="s">
        <v>23</v>
      </c>
      <c r="C54" s="214">
        <f>INT(C46/20)+1</f>
        <v>6</v>
      </c>
      <c r="D54" s="41"/>
      <c r="E54" s="232"/>
      <c r="F54" s="81"/>
      <c r="G54" s="213"/>
      <c r="H54" s="81"/>
      <c r="I54" s="26"/>
      <c r="J54" s="22"/>
      <c r="M54" s="30"/>
      <c r="N54" s="30"/>
      <c r="O54" s="30"/>
      <c r="Q54" s="82"/>
    </row>
    <row r="55" spans="1:17" s="7" customFormat="1">
      <c r="A55" s="8"/>
      <c r="B55" s="52"/>
      <c r="C55" s="41"/>
      <c r="D55" s="41"/>
      <c r="E55" s="231"/>
      <c r="F55" s="41"/>
      <c r="G55" s="97"/>
      <c r="H55" s="41"/>
      <c r="I55" s="26"/>
      <c r="J55" s="22"/>
      <c r="M55" s="30"/>
      <c r="N55" s="30"/>
      <c r="O55" s="30"/>
      <c r="Q55" s="82"/>
    </row>
    <row r="56" spans="1:17" s="7" customFormat="1" ht="38.25">
      <c r="A56" s="12" t="s">
        <v>5</v>
      </c>
      <c r="B56" s="52" t="s">
        <v>6</v>
      </c>
      <c r="C56" s="41"/>
      <c r="D56" s="41"/>
      <c r="E56" s="231"/>
      <c r="F56" s="41"/>
      <c r="G56" s="97"/>
      <c r="I56" s="26"/>
      <c r="J56" s="22"/>
      <c r="M56" s="30"/>
      <c r="N56" s="30"/>
      <c r="O56" s="30"/>
      <c r="Q56" s="82"/>
    </row>
    <row r="57" spans="1:17" s="7" customFormat="1">
      <c r="A57" s="20"/>
      <c r="B57" s="52"/>
      <c r="C57" s="59"/>
      <c r="D57" s="59"/>
      <c r="E57" s="233"/>
      <c r="F57" s="59"/>
      <c r="G57" s="104"/>
      <c r="H57" s="19"/>
      <c r="I57" s="26"/>
      <c r="J57" s="22"/>
      <c r="M57" s="30"/>
      <c r="N57" s="30"/>
      <c r="O57" s="30"/>
      <c r="Q57" s="87"/>
    </row>
    <row r="58" spans="1:17" s="7" customFormat="1">
      <c r="A58" s="8"/>
      <c r="B58" s="52" t="s">
        <v>29</v>
      </c>
      <c r="C58" s="214">
        <v>1</v>
      </c>
      <c r="D58" s="41"/>
      <c r="E58" s="232"/>
      <c r="F58" s="81"/>
      <c r="G58" s="213"/>
      <c r="H58" s="81"/>
      <c r="I58" s="26"/>
      <c r="J58" s="22"/>
      <c r="M58" s="30"/>
      <c r="N58" s="30"/>
      <c r="O58" s="30"/>
      <c r="Q58" s="82"/>
    </row>
    <row r="59" spans="1:17" s="7" customFormat="1">
      <c r="A59" s="8"/>
      <c r="B59" s="52"/>
      <c r="C59" s="41"/>
      <c r="D59" s="41"/>
      <c r="E59" s="231"/>
      <c r="F59" s="41"/>
      <c r="G59" s="97"/>
      <c r="H59" s="41"/>
      <c r="I59" s="26"/>
      <c r="J59" s="22"/>
      <c r="M59" s="30"/>
      <c r="N59" s="30"/>
      <c r="O59" s="30"/>
      <c r="Q59" s="82"/>
    </row>
    <row r="60" spans="1:17" s="19" customFormat="1" ht="48" customHeight="1">
      <c r="A60" s="12" t="s">
        <v>75</v>
      </c>
      <c r="B60" s="52" t="s">
        <v>136</v>
      </c>
      <c r="C60" s="41"/>
      <c r="D60" s="41"/>
      <c r="E60" s="231"/>
      <c r="F60" s="41"/>
      <c r="G60" s="97"/>
      <c r="H60" s="7"/>
      <c r="I60" s="28"/>
      <c r="J60" s="24"/>
      <c r="M60" s="32"/>
      <c r="N60" s="32"/>
      <c r="O60" s="32"/>
      <c r="Q60" s="82"/>
    </row>
    <row r="61" spans="1:17" s="7" customFormat="1">
      <c r="A61" s="20"/>
      <c r="B61" s="52"/>
      <c r="C61" s="59"/>
      <c r="D61" s="59"/>
      <c r="E61" s="233"/>
      <c r="F61" s="59"/>
      <c r="G61" s="104"/>
      <c r="H61" s="19"/>
      <c r="I61" s="26"/>
      <c r="J61" s="22"/>
      <c r="M61" s="30"/>
      <c r="N61" s="30"/>
      <c r="O61" s="30"/>
      <c r="Q61" s="87"/>
    </row>
    <row r="62" spans="1:17" s="7" customFormat="1">
      <c r="A62" s="8"/>
      <c r="B62" s="52" t="s">
        <v>23</v>
      </c>
      <c r="C62" s="214">
        <v>1</v>
      </c>
      <c r="D62" s="41"/>
      <c r="E62" s="232"/>
      <c r="F62" s="81"/>
      <c r="G62" s="213"/>
      <c r="H62" s="81"/>
      <c r="I62" s="26"/>
      <c r="J62" s="22"/>
      <c r="M62" s="30"/>
      <c r="N62" s="30"/>
      <c r="O62" s="30"/>
      <c r="Q62" s="82"/>
    </row>
    <row r="63" spans="1:17" s="7" customFormat="1">
      <c r="A63" s="8"/>
      <c r="B63" s="52"/>
      <c r="C63" s="41"/>
      <c r="D63" s="41"/>
      <c r="E63" s="231"/>
      <c r="F63" s="81"/>
      <c r="G63" s="97"/>
      <c r="H63" s="81"/>
      <c r="I63" s="26"/>
      <c r="J63" s="22"/>
      <c r="M63" s="30"/>
      <c r="N63" s="30"/>
      <c r="O63" s="30"/>
      <c r="Q63" s="82"/>
    </row>
    <row r="64" spans="1:17" s="19" customFormat="1" ht="34.5" customHeight="1">
      <c r="A64" s="12" t="s">
        <v>137</v>
      </c>
      <c r="B64" s="52" t="s">
        <v>138</v>
      </c>
      <c r="C64" s="41"/>
      <c r="D64" s="41"/>
      <c r="E64" s="231"/>
      <c r="F64" s="41"/>
      <c r="G64" s="97"/>
      <c r="H64" s="7"/>
      <c r="I64" s="28"/>
      <c r="J64" s="24"/>
      <c r="M64" s="32"/>
      <c r="N64" s="32"/>
      <c r="O64" s="32"/>
      <c r="Q64" s="82"/>
    </row>
    <row r="65" spans="1:17" s="7" customFormat="1">
      <c r="A65" s="20"/>
      <c r="B65" s="52"/>
      <c r="C65" s="59"/>
      <c r="D65" s="59"/>
      <c r="E65" s="233"/>
      <c r="F65" s="59"/>
      <c r="G65" s="104"/>
      <c r="H65" s="19"/>
      <c r="I65" s="26"/>
      <c r="J65" s="22"/>
      <c r="M65" s="30"/>
      <c r="N65" s="30"/>
      <c r="O65" s="30"/>
      <c r="Q65" s="87"/>
    </row>
    <row r="66" spans="1:17" s="7" customFormat="1">
      <c r="A66" s="8"/>
      <c r="B66" s="52" t="s">
        <v>71</v>
      </c>
      <c r="C66" s="214">
        <v>114</v>
      </c>
      <c r="D66" s="41"/>
      <c r="E66" s="232"/>
      <c r="F66" s="81"/>
      <c r="G66" s="213"/>
      <c r="H66" s="81"/>
      <c r="I66" s="26"/>
      <c r="J66" s="22"/>
      <c r="M66" s="30"/>
      <c r="N66" s="30"/>
      <c r="O66" s="30"/>
      <c r="Q66" s="82"/>
    </row>
    <row r="67" spans="1:17" s="7" customFormat="1">
      <c r="A67" s="8"/>
      <c r="B67" s="52"/>
      <c r="C67" s="227"/>
      <c r="D67" s="203"/>
      <c r="E67" s="234"/>
      <c r="F67" s="203"/>
      <c r="G67" s="228"/>
      <c r="H67" s="41"/>
      <c r="I67" s="26"/>
      <c r="J67" s="22"/>
      <c r="M67" s="30"/>
      <c r="N67" s="30"/>
      <c r="O67" s="30"/>
      <c r="Q67" s="82"/>
    </row>
    <row r="68" spans="1:17" s="7" customFormat="1" ht="86.25" customHeight="1">
      <c r="A68" s="12" t="s">
        <v>54</v>
      </c>
      <c r="B68" s="52" t="s">
        <v>184</v>
      </c>
      <c r="C68" s="41"/>
      <c r="D68" s="41"/>
      <c r="E68" s="231"/>
      <c r="F68" s="41"/>
      <c r="G68" s="97"/>
      <c r="I68" s="26"/>
      <c r="J68" s="22"/>
      <c r="M68" s="30"/>
      <c r="N68" s="30"/>
      <c r="O68" s="30"/>
      <c r="Q68" s="82"/>
    </row>
    <row r="69" spans="1:17" s="7" customFormat="1" ht="44.25" customHeight="1">
      <c r="A69" s="8"/>
      <c r="B69" s="52" t="s">
        <v>116</v>
      </c>
      <c r="C69" s="214">
        <v>1</v>
      </c>
      <c r="D69" s="41"/>
      <c r="E69" s="232"/>
      <c r="F69" s="81"/>
      <c r="G69" s="213"/>
      <c r="H69" s="81"/>
      <c r="I69" s="26"/>
      <c r="J69" s="22"/>
      <c r="M69" s="30"/>
      <c r="N69" s="30"/>
      <c r="O69" s="30"/>
      <c r="Q69" s="82"/>
    </row>
    <row r="70" spans="1:17" s="7" customFormat="1" ht="15.95" customHeight="1">
      <c r="A70" s="8"/>
      <c r="B70" s="52"/>
      <c r="C70" s="207" t="s">
        <v>170</v>
      </c>
      <c r="D70" s="203"/>
      <c r="E70" s="235" t="s">
        <v>171</v>
      </c>
      <c r="F70" s="203"/>
      <c r="G70" s="208" t="s">
        <v>164</v>
      </c>
      <c r="I70" s="26"/>
      <c r="J70" s="22"/>
      <c r="M70" s="30"/>
      <c r="N70" s="30"/>
      <c r="O70" s="30"/>
      <c r="Q70" s="82"/>
    </row>
    <row r="71" spans="1:17" s="7" customFormat="1" ht="15.95" customHeight="1">
      <c r="A71" s="12" t="s">
        <v>61</v>
      </c>
      <c r="B71" s="52" t="s">
        <v>62</v>
      </c>
      <c r="C71" s="41"/>
      <c r="D71" s="41"/>
      <c r="E71" s="231"/>
      <c r="F71" s="41"/>
      <c r="G71" s="97"/>
      <c r="I71" s="26"/>
      <c r="J71" s="22"/>
      <c r="M71" s="30"/>
      <c r="N71" s="30"/>
      <c r="O71" s="30"/>
      <c r="Q71" s="82"/>
    </row>
    <row r="72" spans="1:17" s="7" customFormat="1" ht="15.95" customHeight="1">
      <c r="A72" s="20"/>
      <c r="B72" s="52"/>
      <c r="C72" s="59"/>
      <c r="D72" s="59"/>
      <c r="E72" s="233"/>
      <c r="F72" s="59"/>
      <c r="G72" s="104"/>
      <c r="H72" s="19"/>
      <c r="I72" s="26"/>
      <c r="J72" s="22"/>
      <c r="M72" s="30"/>
      <c r="N72" s="30"/>
      <c r="O72" s="30"/>
      <c r="Q72" s="87"/>
    </row>
    <row r="73" spans="1:17" s="7" customFormat="1" ht="15.95" customHeight="1">
      <c r="A73" s="8"/>
      <c r="B73" s="52" t="s">
        <v>41</v>
      </c>
      <c r="C73" s="214">
        <v>3</v>
      </c>
      <c r="D73" s="41"/>
      <c r="E73" s="232"/>
      <c r="F73" s="81"/>
      <c r="G73" s="213"/>
      <c r="H73" s="81"/>
      <c r="I73" s="26"/>
      <c r="J73" s="22"/>
      <c r="M73" s="30"/>
      <c r="N73" s="30"/>
      <c r="O73" s="30"/>
      <c r="Q73" s="82"/>
    </row>
    <row r="74" spans="1:17" s="7" customFormat="1" ht="15.95" customHeight="1">
      <c r="A74" s="8"/>
      <c r="B74" s="52"/>
      <c r="C74" s="41"/>
      <c r="D74" s="41"/>
      <c r="E74" s="231"/>
      <c r="F74" s="41"/>
      <c r="G74" s="97"/>
      <c r="H74" s="41"/>
      <c r="I74" s="26"/>
      <c r="J74" s="22"/>
      <c r="M74" s="30"/>
      <c r="N74" s="30"/>
      <c r="O74" s="30"/>
      <c r="Q74" s="82"/>
    </row>
    <row r="75" spans="1:17" s="7" customFormat="1" ht="76.5">
      <c r="A75" s="12" t="s">
        <v>73</v>
      </c>
      <c r="B75" s="52" t="s">
        <v>135</v>
      </c>
      <c r="C75" s="41"/>
      <c r="D75" s="41"/>
      <c r="E75" s="231"/>
      <c r="F75" s="41"/>
      <c r="G75" s="97"/>
      <c r="I75" s="26"/>
      <c r="J75" s="22"/>
      <c r="M75" s="30"/>
      <c r="N75" s="30"/>
      <c r="O75" s="30"/>
      <c r="Q75" s="82"/>
    </row>
    <row r="76" spans="1:17" s="7" customFormat="1" ht="15.95" customHeight="1">
      <c r="A76" s="20"/>
      <c r="B76" s="52"/>
      <c r="C76" s="59"/>
      <c r="D76" s="59"/>
      <c r="E76" s="233"/>
      <c r="F76" s="59"/>
      <c r="G76" s="104"/>
      <c r="H76" s="19"/>
      <c r="I76" s="26"/>
      <c r="J76" s="22"/>
      <c r="M76" s="30"/>
      <c r="N76" s="30"/>
      <c r="O76" s="30"/>
      <c r="Q76" s="87"/>
    </row>
    <row r="77" spans="1:17" s="7" customFormat="1" ht="15.95" customHeight="1">
      <c r="A77" s="8"/>
      <c r="B77" s="52" t="s">
        <v>23</v>
      </c>
      <c r="C77" s="214">
        <v>1</v>
      </c>
      <c r="D77" s="41"/>
      <c r="E77" s="232"/>
      <c r="F77" s="81"/>
      <c r="G77" s="213"/>
      <c r="H77" s="81"/>
      <c r="I77" s="26"/>
      <c r="J77" s="22"/>
      <c r="M77" s="30"/>
      <c r="N77" s="30"/>
      <c r="O77" s="30"/>
      <c r="Q77" s="82"/>
    </row>
    <row r="78" spans="1:17" s="7" customFormat="1" ht="15.95" customHeight="1">
      <c r="A78" s="8"/>
      <c r="B78" s="52"/>
      <c r="C78" s="41"/>
      <c r="D78" s="41"/>
      <c r="E78" s="231"/>
      <c r="F78" s="41"/>
      <c r="G78" s="97"/>
      <c r="H78" s="41"/>
      <c r="I78" s="26"/>
      <c r="J78" s="22"/>
      <c r="M78" s="30"/>
      <c r="N78" s="30"/>
      <c r="O78" s="30"/>
      <c r="Q78" s="82"/>
    </row>
    <row r="79" spans="1:17" s="7" customFormat="1" ht="25.5">
      <c r="A79" s="12" t="s">
        <v>74</v>
      </c>
      <c r="B79" s="52" t="s">
        <v>10</v>
      </c>
      <c r="C79" s="41"/>
      <c r="D79" s="41"/>
      <c r="E79" s="231"/>
      <c r="F79" s="41"/>
      <c r="G79" s="97"/>
      <c r="I79" s="26"/>
      <c r="J79" s="22"/>
      <c r="M79" s="30"/>
      <c r="N79" s="30"/>
      <c r="O79" s="30"/>
      <c r="Q79" s="82"/>
    </row>
    <row r="80" spans="1:17" s="7" customFormat="1" ht="15.95" customHeight="1">
      <c r="A80" s="20"/>
      <c r="B80" s="52"/>
      <c r="C80" s="59"/>
      <c r="D80" s="59"/>
      <c r="E80" s="233"/>
      <c r="F80" s="59"/>
      <c r="G80" s="104"/>
      <c r="H80" s="19"/>
      <c r="I80" s="26"/>
      <c r="J80" s="22"/>
      <c r="M80" s="30"/>
      <c r="N80" s="30"/>
      <c r="O80" s="30"/>
      <c r="Q80" s="87"/>
    </row>
    <row r="81" spans="1:17" s="7" customFormat="1" ht="15.95" customHeight="1">
      <c r="A81" s="8"/>
      <c r="B81" s="52" t="s">
        <v>23</v>
      </c>
      <c r="C81" s="214">
        <v>1</v>
      </c>
      <c r="D81" s="41"/>
      <c r="E81" s="232"/>
      <c r="F81" s="81"/>
      <c r="G81" s="213"/>
      <c r="H81" s="81"/>
      <c r="I81" s="26"/>
      <c r="J81" s="22"/>
      <c r="M81" s="30"/>
      <c r="N81" s="30"/>
      <c r="O81" s="30"/>
      <c r="Q81" s="82"/>
    </row>
    <row r="82" spans="1:17" s="7" customFormat="1" ht="15.95" customHeight="1">
      <c r="A82" s="8"/>
      <c r="B82" s="52"/>
      <c r="C82" s="41"/>
      <c r="D82" s="41"/>
      <c r="E82" s="231"/>
      <c r="F82" s="41"/>
      <c r="G82" s="97"/>
      <c r="I82" s="26"/>
      <c r="J82" s="22"/>
      <c r="M82" s="30"/>
      <c r="N82" s="30"/>
      <c r="O82" s="30"/>
      <c r="Q82" s="82"/>
    </row>
    <row r="83" spans="1:17" s="7" customFormat="1" ht="31.5">
      <c r="A83" s="11"/>
      <c r="B83" s="60" t="s">
        <v>43</v>
      </c>
      <c r="C83" s="49"/>
      <c r="D83" s="49"/>
      <c r="E83" s="236"/>
      <c r="F83" s="49"/>
      <c r="G83" s="209"/>
      <c r="H83" s="49"/>
      <c r="I83" s="118"/>
      <c r="J83" s="22"/>
      <c r="M83" s="30"/>
      <c r="N83" s="30"/>
      <c r="O83" s="30"/>
      <c r="Q83" s="84"/>
    </row>
    <row r="84" spans="1:17" s="7" customFormat="1">
      <c r="A84" s="11"/>
      <c r="B84" s="60"/>
      <c r="C84" s="49"/>
      <c r="D84" s="49"/>
      <c r="E84" s="236"/>
      <c r="F84" s="49"/>
      <c r="G84" s="100"/>
      <c r="H84" s="49"/>
      <c r="I84" s="26"/>
      <c r="J84" s="22"/>
      <c r="M84" s="30"/>
      <c r="N84" s="30"/>
      <c r="O84" s="30"/>
      <c r="Q84" s="84"/>
    </row>
    <row r="85" spans="1:17" s="7" customFormat="1">
      <c r="A85" s="11" t="s">
        <v>32</v>
      </c>
      <c r="B85" s="9" t="s">
        <v>17</v>
      </c>
      <c r="C85" s="46"/>
      <c r="E85" s="237"/>
      <c r="G85" s="99"/>
      <c r="I85" s="26"/>
      <c r="J85" s="22"/>
      <c r="M85" s="30"/>
      <c r="N85" s="30"/>
      <c r="O85" s="30"/>
      <c r="Q85" s="91"/>
    </row>
    <row r="86" spans="1:17">
      <c r="B86" s="52"/>
      <c r="E86" s="231"/>
      <c r="H86" s="61"/>
    </row>
    <row r="87" spans="1:17" ht="69" customHeight="1">
      <c r="A87" s="43" t="s">
        <v>34</v>
      </c>
      <c r="B87" s="52" t="s">
        <v>133</v>
      </c>
      <c r="E87" s="231"/>
      <c r="H87" s="61"/>
      <c r="J87" s="52"/>
    </row>
    <row r="88" spans="1:17">
      <c r="B88" s="52"/>
      <c r="E88" s="231"/>
      <c r="H88" s="61"/>
    </row>
    <row r="89" spans="1:17">
      <c r="B89" s="52" t="s">
        <v>25</v>
      </c>
      <c r="C89" s="214">
        <f>10.665/0.09</f>
        <v>118.5</v>
      </c>
      <c r="E89" s="232"/>
      <c r="F89" s="81"/>
      <c r="G89" s="213"/>
      <c r="H89" s="81"/>
    </row>
    <row r="90" spans="1:17">
      <c r="B90" s="52"/>
      <c r="E90" s="231"/>
      <c r="H90" s="41"/>
      <c r="J90" s="36"/>
    </row>
    <row r="91" spans="1:17">
      <c r="B91" s="52"/>
      <c r="C91" s="38"/>
      <c r="D91" s="38"/>
      <c r="E91" s="243"/>
      <c r="F91" s="38"/>
      <c r="G91" s="38"/>
      <c r="H91" s="61"/>
    </row>
    <row r="92" spans="1:17" ht="69" customHeight="1">
      <c r="A92" s="43" t="s">
        <v>36</v>
      </c>
      <c r="B92" s="52" t="s">
        <v>88</v>
      </c>
      <c r="E92" s="231"/>
      <c r="H92" s="61"/>
    </row>
    <row r="93" spans="1:17">
      <c r="B93" s="52"/>
      <c r="E93" s="231"/>
      <c r="H93" s="61"/>
    </row>
    <row r="94" spans="1:17" ht="25.5">
      <c r="B94" s="52" t="s">
        <v>141</v>
      </c>
      <c r="E94" s="231"/>
      <c r="H94" s="61"/>
    </row>
    <row r="95" spans="1:17">
      <c r="B95" s="52" t="s">
        <v>20</v>
      </c>
      <c r="C95" s="214">
        <f>264.72*0.8</f>
        <v>211.77600000000004</v>
      </c>
      <c r="E95" s="230"/>
      <c r="F95" s="81"/>
      <c r="G95" s="213"/>
      <c r="H95" s="81"/>
    </row>
    <row r="96" spans="1:17">
      <c r="B96" s="52"/>
      <c r="E96" s="231"/>
      <c r="H96" s="41"/>
      <c r="J96" s="36"/>
    </row>
    <row r="97" spans="1:17">
      <c r="B97" s="52" t="s">
        <v>142</v>
      </c>
      <c r="E97" s="231"/>
      <c r="H97" s="61"/>
    </row>
    <row r="98" spans="1:17">
      <c r="B98" s="52" t="s">
        <v>20</v>
      </c>
      <c r="C98" s="214">
        <f>264.72*0.2</f>
        <v>52.94400000000001</v>
      </c>
      <c r="E98" s="232"/>
      <c r="F98" s="81"/>
      <c r="G98" s="213"/>
      <c r="H98" s="81"/>
    </row>
    <row r="99" spans="1:17" s="68" customFormat="1">
      <c r="A99" s="69"/>
      <c r="B99" s="70"/>
      <c r="C99" s="66"/>
      <c r="D99" s="66"/>
      <c r="E99" s="231"/>
      <c r="F99" s="66"/>
      <c r="G99" s="97"/>
      <c r="H99" s="67"/>
      <c r="Q99" s="88"/>
    </row>
    <row r="100" spans="1:17" s="64" customFormat="1" ht="42" customHeight="1">
      <c r="A100" s="43" t="s">
        <v>45</v>
      </c>
      <c r="B100" s="52" t="s">
        <v>38</v>
      </c>
      <c r="C100" s="41"/>
      <c r="D100" s="41"/>
      <c r="E100" s="231"/>
      <c r="F100" s="41"/>
      <c r="G100" s="97"/>
      <c r="H100" s="61"/>
      <c r="I100" s="62"/>
      <c r="J100" s="63"/>
      <c r="M100" s="65"/>
      <c r="N100" s="65"/>
      <c r="O100" s="65"/>
      <c r="Q100" s="82"/>
    </row>
    <row r="101" spans="1:17">
      <c r="B101" s="52"/>
      <c r="C101" s="59"/>
      <c r="D101" s="59"/>
      <c r="E101" s="231"/>
      <c r="F101" s="59"/>
      <c r="G101" s="104"/>
      <c r="H101" s="64"/>
      <c r="Q101" s="87"/>
    </row>
    <row r="102" spans="1:17">
      <c r="B102" s="52" t="s">
        <v>25</v>
      </c>
      <c r="C102" s="214">
        <f>C46*0.75</f>
        <v>85.5</v>
      </c>
      <c r="E102" s="232"/>
      <c r="G102" s="213"/>
      <c r="H102" s="41"/>
    </row>
    <row r="103" spans="1:17">
      <c r="B103" s="52"/>
      <c r="C103" s="207" t="s">
        <v>170</v>
      </c>
      <c r="D103" s="203"/>
      <c r="E103" s="235" t="s">
        <v>171</v>
      </c>
      <c r="F103" s="203"/>
      <c r="G103" s="208" t="s">
        <v>164</v>
      </c>
      <c r="H103" s="61"/>
    </row>
    <row r="104" spans="1:17" s="64" customFormat="1" ht="147.75" customHeight="1">
      <c r="A104" s="43" t="s">
        <v>46</v>
      </c>
      <c r="B104" s="52" t="s">
        <v>90</v>
      </c>
      <c r="C104" s="41"/>
      <c r="D104" s="41"/>
      <c r="E104" s="231"/>
      <c r="F104" s="41"/>
      <c r="G104" s="97"/>
      <c r="H104" s="61"/>
      <c r="I104" s="62"/>
      <c r="J104" s="63"/>
      <c r="M104" s="65"/>
      <c r="N104" s="65"/>
      <c r="O104" s="65"/>
      <c r="Q104" s="82"/>
    </row>
    <row r="105" spans="1:17">
      <c r="A105" s="71"/>
      <c r="B105" s="52"/>
      <c r="C105" s="59"/>
      <c r="D105" s="59"/>
      <c r="E105" s="231"/>
      <c r="F105" s="59"/>
      <c r="G105" s="104"/>
      <c r="H105" s="64"/>
      <c r="Q105" s="87"/>
    </row>
    <row r="106" spans="1:17">
      <c r="B106" s="52" t="s">
        <v>20</v>
      </c>
      <c r="C106" s="214">
        <v>16.3</v>
      </c>
      <c r="E106" s="232"/>
      <c r="G106" s="213"/>
      <c r="H106" s="41"/>
    </row>
    <row r="107" spans="1:17">
      <c r="B107" s="52"/>
      <c r="C107" s="38"/>
      <c r="D107" s="38"/>
      <c r="E107" s="243"/>
      <c r="F107" s="38"/>
      <c r="G107" s="38"/>
      <c r="H107" s="61"/>
    </row>
    <row r="108" spans="1:17" s="64" customFormat="1" ht="114.75">
      <c r="A108" s="43" t="s">
        <v>47</v>
      </c>
      <c r="B108" s="52" t="s">
        <v>132</v>
      </c>
      <c r="C108" s="41"/>
      <c r="D108" s="41"/>
      <c r="E108" s="231"/>
      <c r="F108" s="41"/>
      <c r="G108" s="97"/>
      <c r="H108" s="61"/>
      <c r="I108" s="62"/>
      <c r="J108" s="63"/>
      <c r="M108" s="65"/>
      <c r="N108" s="65"/>
      <c r="O108" s="65"/>
      <c r="Q108" s="82"/>
    </row>
    <row r="109" spans="1:17">
      <c r="A109" s="71"/>
      <c r="B109" s="52"/>
      <c r="C109" s="59"/>
      <c r="D109" s="59"/>
      <c r="E109" s="231"/>
      <c r="F109" s="59"/>
      <c r="G109" s="104"/>
      <c r="H109" s="64"/>
      <c r="Q109" s="87"/>
    </row>
    <row r="110" spans="1:17">
      <c r="B110" s="52" t="s">
        <v>20</v>
      </c>
      <c r="C110" s="214">
        <v>55.9</v>
      </c>
      <c r="E110" s="232"/>
      <c r="G110" s="213"/>
      <c r="H110" s="41"/>
    </row>
    <row r="111" spans="1:17">
      <c r="B111" s="52"/>
      <c r="E111" s="231"/>
      <c r="H111" s="61"/>
    </row>
    <row r="112" spans="1:17" ht="89.25">
      <c r="A112" s="43" t="s">
        <v>48</v>
      </c>
      <c r="B112" s="52" t="s">
        <v>91</v>
      </c>
      <c r="E112" s="231"/>
      <c r="H112" s="61"/>
    </row>
    <row r="113" spans="1:15">
      <c r="A113" s="71"/>
      <c r="B113" s="52"/>
      <c r="E113" s="231"/>
      <c r="H113" s="61"/>
    </row>
    <row r="114" spans="1:15">
      <c r="B114" s="52" t="s">
        <v>20</v>
      </c>
      <c r="C114" s="214">
        <f>142.8*1</f>
        <v>142.80000000000001</v>
      </c>
      <c r="E114" s="232"/>
      <c r="G114" s="213"/>
      <c r="H114" s="41"/>
    </row>
    <row r="115" spans="1:15">
      <c r="B115" s="52"/>
      <c r="E115" s="231"/>
      <c r="H115" s="61"/>
      <c r="I115" s="38"/>
      <c r="J115" s="38"/>
      <c r="M115" s="38"/>
      <c r="N115" s="38"/>
      <c r="O115" s="38"/>
    </row>
    <row r="116" spans="1:15" ht="114.75">
      <c r="A116" s="43" t="s">
        <v>50</v>
      </c>
      <c r="B116" s="52" t="s">
        <v>177</v>
      </c>
      <c r="E116" s="231"/>
      <c r="H116" s="61"/>
      <c r="K116" s="52"/>
    </row>
    <row r="117" spans="1:15">
      <c r="A117" s="71"/>
      <c r="B117" s="52"/>
      <c r="E117" s="231"/>
      <c r="H117" s="61"/>
    </row>
    <row r="118" spans="1:15">
      <c r="B118" s="52" t="s">
        <v>20</v>
      </c>
      <c r="C118" s="214">
        <v>43.6</v>
      </c>
      <c r="E118" s="232"/>
      <c r="G118" s="213"/>
      <c r="H118" s="41"/>
    </row>
    <row r="119" spans="1:15">
      <c r="B119" s="52"/>
      <c r="C119" s="207" t="s">
        <v>170</v>
      </c>
      <c r="D119" s="203"/>
      <c r="E119" s="235" t="s">
        <v>171</v>
      </c>
      <c r="F119" s="203"/>
      <c r="G119" s="208" t="s">
        <v>164</v>
      </c>
      <c r="H119" s="61"/>
    </row>
    <row r="120" spans="1:15" ht="330" customHeight="1">
      <c r="A120" s="43" t="s">
        <v>51</v>
      </c>
      <c r="B120" s="16" t="s">
        <v>168</v>
      </c>
      <c r="E120" s="231"/>
      <c r="H120" s="61"/>
    </row>
    <row r="121" spans="1:15">
      <c r="A121" s="71"/>
      <c r="B121" s="72"/>
      <c r="E121" s="231"/>
      <c r="H121" s="61"/>
    </row>
    <row r="122" spans="1:15">
      <c r="B122" s="52" t="s">
        <v>25</v>
      </c>
      <c r="C122" s="214">
        <f>C89</f>
        <v>118.5</v>
      </c>
      <c r="E122" s="230"/>
      <c r="G122" s="213"/>
      <c r="H122" s="41"/>
    </row>
    <row r="123" spans="1:15">
      <c r="B123" s="52"/>
      <c r="E123" s="231"/>
      <c r="H123" s="41"/>
    </row>
    <row r="124" spans="1:15" ht="38.25">
      <c r="A124" s="43" t="s">
        <v>67</v>
      </c>
      <c r="B124" s="16" t="s">
        <v>249</v>
      </c>
      <c r="E124" s="231"/>
      <c r="H124" s="61"/>
    </row>
    <row r="125" spans="1:15">
      <c r="A125" s="71"/>
      <c r="B125" s="72"/>
      <c r="E125" s="231"/>
      <c r="H125" s="61"/>
    </row>
    <row r="126" spans="1:15">
      <c r="B126" s="52" t="s">
        <v>25</v>
      </c>
      <c r="C126" s="214">
        <v>81.5</v>
      </c>
      <c r="E126" s="232"/>
      <c r="G126" s="213"/>
      <c r="H126" s="41"/>
    </row>
    <row r="127" spans="1:15">
      <c r="B127" s="52"/>
      <c r="E127" s="231"/>
      <c r="H127" s="61"/>
    </row>
    <row r="128" spans="1:15" ht="25.5">
      <c r="A128" s="43" t="s">
        <v>63</v>
      </c>
      <c r="B128" s="72" t="s">
        <v>248</v>
      </c>
      <c r="E128" s="231"/>
      <c r="H128" s="61"/>
      <c r="K128" s="121"/>
    </row>
    <row r="129" spans="1:17">
      <c r="A129" s="71"/>
      <c r="B129" s="72"/>
      <c r="E129" s="231"/>
      <c r="H129" s="61"/>
    </row>
    <row r="130" spans="1:17">
      <c r="B130" s="52" t="s">
        <v>25</v>
      </c>
      <c r="C130" s="214">
        <f>5.55/0.05</f>
        <v>110.99999999999999</v>
      </c>
      <c r="E130" s="232"/>
      <c r="G130" s="213"/>
      <c r="H130" s="41"/>
    </row>
    <row r="131" spans="1:17">
      <c r="B131" s="52"/>
      <c r="E131" s="231"/>
      <c r="H131" s="61"/>
    </row>
    <row r="132" spans="1:17" ht="116.25">
      <c r="A132" s="43" t="s">
        <v>57</v>
      </c>
      <c r="B132" s="52" t="s">
        <v>96</v>
      </c>
      <c r="E132" s="231"/>
      <c r="H132" s="61"/>
    </row>
    <row r="133" spans="1:17">
      <c r="B133" s="52"/>
      <c r="E133" s="231"/>
      <c r="H133" s="61"/>
    </row>
    <row r="134" spans="1:17">
      <c r="B134" s="52" t="s">
        <v>20</v>
      </c>
      <c r="C134" s="214">
        <f>(264.72)*1.3</f>
        <v>344.13600000000002</v>
      </c>
      <c r="E134" s="232"/>
      <c r="G134" s="213"/>
      <c r="H134" s="41"/>
    </row>
    <row r="135" spans="1:17">
      <c r="B135" s="52"/>
      <c r="E135" s="231"/>
      <c r="H135" s="61"/>
    </row>
    <row r="136" spans="1:17">
      <c r="B136" s="52"/>
      <c r="C136" s="207" t="s">
        <v>170</v>
      </c>
      <c r="D136" s="203"/>
      <c r="E136" s="235" t="s">
        <v>171</v>
      </c>
      <c r="F136" s="203"/>
      <c r="G136" s="208" t="s">
        <v>164</v>
      </c>
      <c r="H136" s="61"/>
    </row>
    <row r="137" spans="1:17" ht="55.7" customHeight="1">
      <c r="A137" s="43" t="s">
        <v>64</v>
      </c>
      <c r="B137" s="52" t="s">
        <v>97</v>
      </c>
      <c r="E137" s="231"/>
      <c r="H137" s="61"/>
    </row>
    <row r="138" spans="1:17">
      <c r="B138" s="52"/>
      <c r="E138" s="231"/>
      <c r="H138" s="61"/>
    </row>
    <row r="139" spans="1:17">
      <c r="B139" s="52" t="s">
        <v>41</v>
      </c>
      <c r="C139" s="214">
        <v>2</v>
      </c>
      <c r="E139" s="232"/>
      <c r="G139" s="213"/>
      <c r="H139" s="41"/>
    </row>
    <row r="140" spans="1:17">
      <c r="B140" s="52"/>
      <c r="E140" s="231"/>
      <c r="H140" s="61"/>
    </row>
    <row r="141" spans="1:17" s="64" customFormat="1" ht="63.75">
      <c r="A141" s="43" t="s">
        <v>65</v>
      </c>
      <c r="B141" s="52" t="s">
        <v>7</v>
      </c>
      <c r="C141" s="41"/>
      <c r="D141" s="41"/>
      <c r="E141" s="231"/>
      <c r="F141" s="41"/>
      <c r="G141" s="97"/>
      <c r="H141" s="61"/>
      <c r="I141" s="62"/>
      <c r="J141" s="63"/>
      <c r="M141" s="65"/>
      <c r="N141" s="65"/>
      <c r="O141" s="65"/>
      <c r="Q141" s="82"/>
    </row>
    <row r="142" spans="1:17">
      <c r="B142" s="52"/>
      <c r="C142" s="59"/>
      <c r="D142" s="59"/>
      <c r="E142" s="233"/>
      <c r="F142" s="59"/>
      <c r="G142" s="104"/>
      <c r="H142" s="64"/>
      <c r="Q142" s="87"/>
    </row>
    <row r="143" spans="1:17">
      <c r="B143" s="52" t="s">
        <v>39</v>
      </c>
      <c r="E143" s="231"/>
      <c r="G143" s="213"/>
      <c r="H143" s="41"/>
    </row>
    <row r="144" spans="1:17">
      <c r="B144" s="52"/>
      <c r="E144" s="231"/>
      <c r="H144" s="61"/>
    </row>
    <row r="145" spans="1:17" s="7" customFormat="1">
      <c r="A145" s="43"/>
      <c r="B145" s="60" t="s">
        <v>21</v>
      </c>
      <c r="C145" s="56"/>
      <c r="D145" s="56"/>
      <c r="E145" s="239"/>
      <c r="F145" s="56"/>
      <c r="G145" s="209"/>
      <c r="H145" s="49"/>
      <c r="I145" s="26"/>
      <c r="J145" s="22"/>
      <c r="M145" s="30"/>
      <c r="N145" s="30"/>
      <c r="O145" s="30"/>
      <c r="Q145" s="86"/>
    </row>
    <row r="146" spans="1:17" ht="15.95" customHeight="1">
      <c r="A146" s="47"/>
      <c r="B146" s="9"/>
      <c r="C146" s="56"/>
      <c r="D146" s="56"/>
      <c r="E146" s="239"/>
      <c r="F146" s="56"/>
      <c r="G146" s="100"/>
      <c r="Q146" s="86"/>
    </row>
    <row r="147" spans="1:17">
      <c r="A147" s="11" t="s">
        <v>42</v>
      </c>
      <c r="B147" s="9" t="s">
        <v>18</v>
      </c>
      <c r="C147" s="46"/>
      <c r="D147" s="7"/>
      <c r="E147" s="237"/>
      <c r="F147" s="7"/>
      <c r="G147" s="99"/>
      <c r="H147" s="7"/>
      <c r="Q147" s="91"/>
    </row>
    <row r="148" spans="1:17">
      <c r="A148" s="11"/>
      <c r="B148" s="9"/>
      <c r="C148" s="46"/>
      <c r="D148" s="7"/>
      <c r="E148" s="237"/>
      <c r="F148" s="7"/>
      <c r="G148" s="99"/>
      <c r="H148" s="7"/>
      <c r="Q148" s="91"/>
    </row>
    <row r="149" spans="1:17" ht="43.5" customHeight="1">
      <c r="A149" s="43" t="s">
        <v>112</v>
      </c>
      <c r="B149" s="73" t="s">
        <v>98</v>
      </c>
      <c r="E149" s="231"/>
      <c r="H149" s="61"/>
    </row>
    <row r="150" spans="1:17">
      <c r="B150" s="52"/>
      <c r="E150" s="231"/>
      <c r="H150" s="61"/>
    </row>
    <row r="151" spans="1:17">
      <c r="B151" s="52" t="s">
        <v>22</v>
      </c>
      <c r="C151" s="214">
        <v>113</v>
      </c>
      <c r="E151" s="232"/>
      <c r="G151" s="213"/>
      <c r="H151" s="41"/>
    </row>
    <row r="152" spans="1:17">
      <c r="B152" s="52"/>
      <c r="C152" s="120"/>
      <c r="E152" s="231"/>
      <c r="H152" s="41"/>
    </row>
    <row r="153" spans="1:17" ht="97.5" customHeight="1">
      <c r="A153" s="43" t="s">
        <v>78</v>
      </c>
      <c r="B153" s="73" t="s">
        <v>99</v>
      </c>
      <c r="E153" s="231"/>
      <c r="H153" s="61"/>
    </row>
    <row r="154" spans="1:17">
      <c r="B154" s="52"/>
      <c r="E154" s="231"/>
      <c r="H154" s="61"/>
    </row>
    <row r="155" spans="1:17">
      <c r="B155" s="52" t="s">
        <v>22</v>
      </c>
      <c r="C155" s="214">
        <v>113</v>
      </c>
      <c r="E155" s="230"/>
      <c r="G155" s="213"/>
      <c r="H155" s="41"/>
    </row>
    <row r="156" spans="1:17" s="79" customFormat="1">
      <c r="A156" s="43"/>
      <c r="B156" s="52"/>
      <c r="C156" s="124"/>
      <c r="D156" s="41"/>
      <c r="E156" s="231"/>
      <c r="F156" s="41"/>
      <c r="G156" s="97"/>
      <c r="H156" s="41"/>
      <c r="Q156" s="95"/>
    </row>
    <row r="157" spans="1:17" s="79" customFormat="1" ht="114" customHeight="1">
      <c r="A157" s="43" t="s">
        <v>101</v>
      </c>
      <c r="B157" s="10" t="s">
        <v>195</v>
      </c>
      <c r="C157" s="41"/>
      <c r="D157" s="41"/>
      <c r="E157" s="231"/>
      <c r="F157" s="41"/>
      <c r="G157" s="97"/>
      <c r="H157" s="125"/>
      <c r="K157" s="10"/>
      <c r="Q157" s="82"/>
    </row>
    <row r="158" spans="1:17" s="79" customFormat="1">
      <c r="A158" s="43"/>
      <c r="B158" s="52" t="s">
        <v>117</v>
      </c>
      <c r="C158" s="216">
        <v>4</v>
      </c>
      <c r="D158" s="41"/>
      <c r="E158" s="232"/>
      <c r="F158" s="41"/>
      <c r="G158" s="213"/>
      <c r="H158" s="41"/>
      <c r="Q158" s="95"/>
    </row>
    <row r="159" spans="1:17" s="79" customFormat="1">
      <c r="A159" s="43"/>
      <c r="B159" s="52"/>
      <c r="C159" s="124"/>
      <c r="D159" s="41"/>
      <c r="E159" s="231"/>
      <c r="F159" s="41"/>
      <c r="G159" s="97"/>
      <c r="H159" s="41"/>
      <c r="Q159" s="95"/>
    </row>
    <row r="160" spans="1:17" s="79" customFormat="1">
      <c r="A160" s="43"/>
      <c r="B160" s="52"/>
      <c r="C160" s="207" t="s">
        <v>170</v>
      </c>
      <c r="D160" s="203"/>
      <c r="E160" s="235" t="s">
        <v>171</v>
      </c>
      <c r="F160" s="203"/>
      <c r="G160" s="208" t="s">
        <v>164</v>
      </c>
      <c r="H160" s="41"/>
      <c r="Q160" s="95"/>
    </row>
    <row r="161" spans="1:17" s="79" customFormat="1" ht="162" customHeight="1">
      <c r="A161" s="43" t="s">
        <v>79</v>
      </c>
      <c r="B161" s="10" t="s">
        <v>194</v>
      </c>
      <c r="C161" s="41"/>
      <c r="D161" s="41"/>
      <c r="E161" s="231"/>
      <c r="F161" s="41"/>
      <c r="G161" s="97"/>
      <c r="H161" s="125"/>
      <c r="K161" s="10"/>
      <c r="Q161" s="82"/>
    </row>
    <row r="162" spans="1:17" s="79" customFormat="1">
      <c r="A162" s="43"/>
      <c r="B162" s="52"/>
      <c r="C162" s="41"/>
      <c r="D162" s="41"/>
      <c r="E162" s="231"/>
      <c r="F162" s="41"/>
      <c r="G162" s="97"/>
      <c r="H162" s="125"/>
      <c r="Q162" s="82"/>
    </row>
    <row r="163" spans="1:17" s="79" customFormat="1">
      <c r="A163" s="43"/>
      <c r="B163" s="52" t="s">
        <v>117</v>
      </c>
      <c r="C163" s="216">
        <f>C158</f>
        <v>4</v>
      </c>
      <c r="D163" s="41"/>
      <c r="E163" s="232"/>
      <c r="F163" s="41"/>
      <c r="G163" s="213"/>
      <c r="H163" s="41"/>
      <c r="Q163" s="95"/>
    </row>
    <row r="164" spans="1:17" s="5" customFormat="1">
      <c r="A164" s="6"/>
      <c r="B164" s="10"/>
      <c r="C164" s="4"/>
      <c r="D164" s="2"/>
      <c r="E164" s="231"/>
      <c r="F164" s="2"/>
      <c r="G164" s="105"/>
      <c r="H164" s="2"/>
      <c r="Q164" s="89"/>
    </row>
    <row r="165" spans="1:17" s="5" customFormat="1" ht="191.25">
      <c r="A165" s="6" t="s">
        <v>109</v>
      </c>
      <c r="B165" s="126" t="s">
        <v>167</v>
      </c>
      <c r="C165" s="2"/>
      <c r="D165" s="2"/>
      <c r="E165" s="231"/>
      <c r="F165" s="2"/>
      <c r="G165" s="105"/>
      <c r="H165" s="15"/>
      <c r="K165" s="10"/>
      <c r="Q165" s="89"/>
    </row>
    <row r="166" spans="1:17" s="5" customFormat="1">
      <c r="A166" s="6"/>
      <c r="B166" s="10"/>
      <c r="C166" s="2"/>
      <c r="D166" s="2"/>
      <c r="E166" s="231"/>
      <c r="F166" s="2"/>
      <c r="G166" s="105"/>
      <c r="H166" s="15"/>
      <c r="Q166" s="89"/>
    </row>
    <row r="167" spans="1:17" s="5" customFormat="1">
      <c r="A167" s="6"/>
      <c r="B167" s="10" t="s">
        <v>23</v>
      </c>
      <c r="C167" s="217">
        <v>2</v>
      </c>
      <c r="D167" s="2"/>
      <c r="E167" s="232"/>
      <c r="F167" s="2"/>
      <c r="G167" s="218"/>
      <c r="H167" s="2"/>
      <c r="J167" s="122"/>
      <c r="Q167" s="89"/>
    </row>
    <row r="168" spans="1:17">
      <c r="B168" s="52"/>
      <c r="E168" s="231"/>
      <c r="H168" s="61"/>
      <c r="I168" s="38"/>
      <c r="J168" s="38"/>
      <c r="M168" s="38"/>
      <c r="N168" s="38"/>
      <c r="O168" s="38"/>
    </row>
    <row r="169" spans="1:17" ht="40.5" customHeight="1">
      <c r="A169" s="43" t="s">
        <v>1</v>
      </c>
      <c r="B169" s="52" t="s">
        <v>104</v>
      </c>
      <c r="E169" s="231"/>
      <c r="H169" s="61"/>
    </row>
    <row r="170" spans="1:17">
      <c r="B170" s="52"/>
      <c r="E170" s="231"/>
      <c r="H170" s="61"/>
    </row>
    <row r="171" spans="1:17">
      <c r="B171" s="52" t="s">
        <v>23</v>
      </c>
      <c r="C171" s="214">
        <v>4</v>
      </c>
      <c r="E171" s="232"/>
      <c r="G171" s="213"/>
      <c r="H171" s="41"/>
      <c r="Q171" s="95"/>
    </row>
    <row r="172" spans="1:17">
      <c r="B172" s="52"/>
      <c r="E172" s="231"/>
      <c r="H172" s="41"/>
      <c r="Q172" s="95"/>
    </row>
    <row r="173" spans="1:17" ht="30.75" customHeight="1">
      <c r="A173" s="43" t="s">
        <v>105</v>
      </c>
      <c r="B173" s="52" t="s">
        <v>103</v>
      </c>
      <c r="E173" s="231"/>
      <c r="H173" s="61"/>
    </row>
    <row r="174" spans="1:17">
      <c r="B174" s="52"/>
      <c r="E174" s="231"/>
      <c r="H174" s="49"/>
    </row>
    <row r="175" spans="1:17">
      <c r="B175" s="52" t="s">
        <v>22</v>
      </c>
      <c r="C175" s="214">
        <v>113</v>
      </c>
      <c r="E175" s="230"/>
      <c r="G175" s="213"/>
      <c r="H175" s="41"/>
    </row>
    <row r="176" spans="1:17">
      <c r="B176" s="52"/>
      <c r="E176" s="231"/>
      <c r="H176" s="41"/>
      <c r="Q176" s="95"/>
    </row>
    <row r="177" spans="1:17" ht="42.75" customHeight="1">
      <c r="A177" s="43" t="s">
        <v>2</v>
      </c>
      <c r="B177" s="52" t="s">
        <v>102</v>
      </c>
      <c r="E177" s="231"/>
      <c r="H177" s="61"/>
    </row>
    <row r="178" spans="1:17">
      <c r="B178" s="52"/>
      <c r="E178" s="231"/>
      <c r="H178" s="49"/>
    </row>
    <row r="179" spans="1:17">
      <c r="B179" s="52" t="s">
        <v>22</v>
      </c>
      <c r="C179" s="214">
        <v>113</v>
      </c>
      <c r="E179" s="230"/>
      <c r="G179" s="213"/>
      <c r="H179" s="41"/>
    </row>
    <row r="180" spans="1:17">
      <c r="B180" s="52"/>
      <c r="C180" s="207" t="s">
        <v>170</v>
      </c>
      <c r="D180" s="203"/>
      <c r="E180" s="235" t="s">
        <v>171</v>
      </c>
      <c r="F180" s="203"/>
      <c r="G180" s="208" t="s">
        <v>164</v>
      </c>
      <c r="H180" s="41"/>
    </row>
    <row r="181" spans="1:17" ht="22.5" customHeight="1">
      <c r="A181" s="43" t="s">
        <v>110</v>
      </c>
      <c r="B181" s="52" t="s">
        <v>106</v>
      </c>
      <c r="E181" s="231"/>
      <c r="H181" s="61"/>
    </row>
    <row r="182" spans="1:17">
      <c r="B182" s="52"/>
      <c r="E182" s="231"/>
      <c r="H182" s="49"/>
    </row>
    <row r="183" spans="1:17">
      <c r="B183" s="52" t="s">
        <v>22</v>
      </c>
      <c r="C183" s="214">
        <v>113</v>
      </c>
      <c r="E183" s="230"/>
      <c r="G183" s="213"/>
      <c r="H183" s="41"/>
    </row>
    <row r="184" spans="1:17">
      <c r="B184" s="52"/>
      <c r="H184" s="61"/>
    </row>
    <row r="185" spans="1:17" s="5" customFormat="1">
      <c r="A185" s="6"/>
      <c r="B185" s="10"/>
      <c r="H185" s="15"/>
      <c r="Q185" s="89"/>
    </row>
    <row r="186" spans="1:17" s="64" customFormat="1" ht="63.75">
      <c r="A186" s="43" t="s">
        <v>111</v>
      </c>
      <c r="B186" s="52" t="s">
        <v>9</v>
      </c>
      <c r="C186" s="41"/>
      <c r="D186" s="41"/>
      <c r="E186" s="107"/>
      <c r="F186" s="41"/>
      <c r="G186" s="97"/>
      <c r="H186" s="61"/>
      <c r="I186" s="62"/>
      <c r="J186" s="63"/>
      <c r="M186" s="65"/>
      <c r="N186" s="65"/>
      <c r="O186" s="65"/>
      <c r="Q186" s="82"/>
    </row>
    <row r="187" spans="1:17">
      <c r="B187" s="52"/>
      <c r="C187" s="59"/>
      <c r="D187" s="59"/>
      <c r="E187" s="114"/>
      <c r="F187" s="59"/>
      <c r="G187" s="104"/>
      <c r="H187" s="64"/>
      <c r="Q187" s="87"/>
    </row>
    <row r="188" spans="1:17">
      <c r="B188" s="52" t="s">
        <v>39</v>
      </c>
      <c r="G188" s="213"/>
      <c r="H188" s="41"/>
      <c r="J188" s="97"/>
      <c r="K188" s="97"/>
    </row>
    <row r="189" spans="1:17">
      <c r="B189" s="52"/>
      <c r="H189" s="61"/>
    </row>
    <row r="190" spans="1:17">
      <c r="B190" s="48" t="s">
        <v>24</v>
      </c>
      <c r="C190" s="56"/>
      <c r="D190" s="56"/>
      <c r="E190" s="112"/>
      <c r="F190" s="56"/>
      <c r="G190" s="209"/>
      <c r="Q190" s="86"/>
    </row>
    <row r="191" spans="1:17">
      <c r="H191" s="61"/>
    </row>
    <row r="192" spans="1:17">
      <c r="H192" s="61"/>
    </row>
  </sheetData>
  <sheetProtection selectLockedCells="1"/>
  <mergeCells count="2">
    <mergeCell ref="E22:G22"/>
    <mergeCell ref="E23:G23"/>
  </mergeCells>
  <conditionalFormatting sqref="G14:G17 C46:G66 C69:G69 C71:G89 C95:G102 C104:G106 C110:G118 C120:G135 C139:G158 C163:G179 C181:G183 C188:G190">
    <cfRule type="cellIs" dxfId="23" priority="5" stopIfTrue="1" operator="greaterThan">
      <formula>0</formula>
    </cfRule>
  </conditionalFormatting>
  <pageMargins left="1.1811023622047245" right="0.15748031496062992" top="0.59055118110236227" bottom="0.59055118110236227" header="0.39370078740157483" footer="0.39370078740157483"/>
  <pageSetup paperSize="9" orientation="portrait" useFirstPageNumber="1" r:id="rId1"/>
  <headerFooter alignWithMargins="0">
    <oddHeader>&amp;R&amp;"Arial,Navadno"&amp;9KANAL VS3</oddHeader>
    <oddFooter>&amp;C&amp;"Arial,Navadno"&amp;10&amp;P</oddFooter>
  </headerFooter>
  <rowBreaks count="6" manualBreakCount="6">
    <brk id="38" max="6" man="1"/>
    <brk id="102" max="6" man="1"/>
    <brk id="118" max="6" man="1"/>
    <brk id="135" max="6" man="1"/>
    <brk id="159" max="6" man="1"/>
    <brk id="179"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190"/>
  <sheetViews>
    <sheetView view="pageBreakPreview" topLeftCell="A19" zoomScale="60" zoomScaleNormal="100" workbookViewId="0">
      <selection activeCell="E41" sqref="E41:E181"/>
    </sheetView>
  </sheetViews>
  <sheetFormatPr defaultColWidth="8.6640625" defaultRowHeight="15.75"/>
  <cols>
    <col min="1" max="1" width="6.5546875" style="43" customWidth="1"/>
    <col min="2" max="2" width="27.44140625" style="53" customWidth="1"/>
    <col min="3" max="3" width="7.44140625" style="41" customWidth="1"/>
    <col min="4" max="4" width="1.109375" style="41" customWidth="1"/>
    <col min="5" max="5" width="11.109375" style="107" customWidth="1"/>
    <col min="6" max="6" width="3.44140625" style="41" customWidth="1"/>
    <col min="7" max="7" width="14" style="97" customWidth="1"/>
    <col min="8" max="8" width="3.6640625" style="38" customWidth="1"/>
    <col min="9" max="9" width="14.88671875" style="36" customWidth="1"/>
    <col min="10" max="10" width="8.6640625" style="37" customWidth="1"/>
    <col min="11" max="11" width="25.5546875" style="38" customWidth="1"/>
    <col min="12" max="12" width="15.5546875" style="38" customWidth="1"/>
    <col min="13" max="15" width="8.6640625" style="39" customWidth="1"/>
    <col min="16" max="16" width="8.6640625" style="38" customWidth="1"/>
    <col min="17" max="17" width="11.109375" style="82" customWidth="1"/>
    <col min="18" max="16384" width="8.6640625" style="38"/>
  </cols>
  <sheetData>
    <row r="1" spans="1:17" s="79" customFormat="1" ht="15.95" customHeight="1">
      <c r="A1" s="34"/>
      <c r="B1" s="35" t="s">
        <v>11</v>
      </c>
      <c r="C1" s="1" t="s">
        <v>123</v>
      </c>
      <c r="D1" s="33"/>
      <c r="E1" s="33"/>
      <c r="F1" s="2"/>
      <c r="G1" s="96"/>
      <c r="H1" s="78"/>
      <c r="Q1" s="90"/>
    </row>
    <row r="2" spans="1:17" s="79" customFormat="1" ht="15.95" customHeight="1">
      <c r="A2" s="34"/>
      <c r="B2" s="35"/>
      <c r="C2" s="1" t="s">
        <v>124</v>
      </c>
      <c r="D2" s="33"/>
      <c r="E2" s="33"/>
      <c r="F2" s="2"/>
      <c r="G2" s="96"/>
      <c r="H2" s="78"/>
      <c r="Q2" s="90"/>
    </row>
    <row r="3" spans="1:17" s="79" customFormat="1" ht="15.95" customHeight="1">
      <c r="A3" s="34"/>
      <c r="B3" s="35" t="s">
        <v>8</v>
      </c>
      <c r="C3" s="40" t="s">
        <v>185</v>
      </c>
      <c r="D3" s="33"/>
      <c r="E3" s="106"/>
      <c r="F3" s="2"/>
      <c r="G3" s="96"/>
      <c r="H3" s="78"/>
      <c r="Q3" s="90"/>
    </row>
    <row r="4" spans="1:17" s="79" customFormat="1">
      <c r="A4" s="34"/>
      <c r="B4" s="35" t="s">
        <v>12</v>
      </c>
      <c r="C4" s="40" t="s">
        <v>175</v>
      </c>
      <c r="D4" s="41"/>
      <c r="E4" s="107"/>
      <c r="F4" s="41"/>
      <c r="G4" s="97"/>
      <c r="Q4" s="82"/>
    </row>
    <row r="5" spans="1:17" s="79" customFormat="1">
      <c r="A5" s="34"/>
      <c r="B5" s="35" t="s">
        <v>13</v>
      </c>
      <c r="C5" s="1" t="s">
        <v>172</v>
      </c>
      <c r="D5" s="33"/>
      <c r="E5" s="106"/>
      <c r="F5" s="2"/>
      <c r="G5" s="97"/>
      <c r="Q5" s="90"/>
    </row>
    <row r="6" spans="1:17">
      <c r="A6" s="34"/>
      <c r="B6" s="35"/>
      <c r="C6" s="42" t="s">
        <v>173</v>
      </c>
    </row>
    <row r="7" spans="1:17">
      <c r="A7" s="34"/>
      <c r="B7" s="35"/>
      <c r="C7" s="42"/>
    </row>
    <row r="9" spans="1:17" ht="18">
      <c r="A9" s="43" t="s">
        <v>14</v>
      </c>
      <c r="B9" s="44" t="s">
        <v>52</v>
      </c>
      <c r="C9" s="45"/>
      <c r="D9" s="45"/>
      <c r="E9" s="108"/>
      <c r="F9" s="45"/>
      <c r="G9" s="98"/>
      <c r="Q9" s="83"/>
    </row>
    <row r="10" spans="1:17">
      <c r="B10" s="45"/>
      <c r="C10" s="45"/>
      <c r="D10" s="45"/>
      <c r="E10" s="108"/>
      <c r="F10" s="45"/>
      <c r="G10" s="98"/>
      <c r="Q10" s="83"/>
    </row>
    <row r="12" spans="1:17" s="7" customFormat="1">
      <c r="A12" s="8" t="s">
        <v>15</v>
      </c>
      <c r="B12" s="9" t="s">
        <v>16</v>
      </c>
      <c r="C12" s="46"/>
      <c r="E12" s="109"/>
      <c r="G12" s="99"/>
      <c r="I12" s="26"/>
      <c r="J12" s="22"/>
      <c r="M12" s="30"/>
      <c r="N12" s="30"/>
      <c r="O12" s="30"/>
      <c r="Q12" s="91"/>
    </row>
    <row r="13" spans="1:17" s="7" customFormat="1">
      <c r="A13" s="8"/>
      <c r="B13" s="9"/>
      <c r="C13" s="46"/>
      <c r="E13" s="109"/>
      <c r="G13" s="99"/>
      <c r="I13" s="26"/>
      <c r="J13" s="22"/>
      <c r="M13" s="30"/>
      <c r="N13" s="30"/>
      <c r="O13" s="30"/>
      <c r="Q13" s="91"/>
    </row>
    <row r="14" spans="1:17" s="7" customFormat="1">
      <c r="A14" s="47" t="s">
        <v>27</v>
      </c>
      <c r="B14" s="48" t="s">
        <v>26</v>
      </c>
      <c r="C14" s="49"/>
      <c r="D14" s="49"/>
      <c r="E14" s="110"/>
      <c r="F14" s="49"/>
      <c r="G14" s="209"/>
      <c r="H14" s="80"/>
      <c r="I14" s="26"/>
      <c r="J14" s="22"/>
      <c r="K14" s="119"/>
      <c r="M14" s="30"/>
      <c r="N14" s="30"/>
      <c r="O14" s="30"/>
      <c r="Q14" s="84"/>
    </row>
    <row r="15" spans="1:17">
      <c r="A15" s="47" t="s">
        <v>32</v>
      </c>
      <c r="B15" s="48" t="s">
        <v>17</v>
      </c>
      <c r="C15" s="49"/>
      <c r="D15" s="49"/>
      <c r="E15" s="110"/>
      <c r="F15" s="49"/>
      <c r="G15" s="209"/>
      <c r="H15" s="80"/>
      <c r="K15" s="116"/>
      <c r="Q15" s="84"/>
    </row>
    <row r="16" spans="1:17">
      <c r="A16" s="47" t="s">
        <v>42</v>
      </c>
      <c r="B16" s="48" t="s">
        <v>18</v>
      </c>
      <c r="C16" s="49"/>
      <c r="D16" s="49"/>
      <c r="E16" s="110"/>
      <c r="F16" s="49"/>
      <c r="G16" s="209"/>
      <c r="H16" s="80"/>
      <c r="K16" s="116"/>
      <c r="Q16" s="84"/>
    </row>
    <row r="17" spans="1:17">
      <c r="A17" s="47"/>
      <c r="B17" s="48"/>
      <c r="C17" s="49"/>
      <c r="D17" s="49"/>
      <c r="E17" s="110"/>
      <c r="F17" s="49"/>
      <c r="G17" s="100"/>
      <c r="K17" s="116"/>
      <c r="Q17" s="84"/>
    </row>
    <row r="18" spans="1:17" ht="16.5" thickBot="1">
      <c r="A18" s="47"/>
      <c r="B18" s="50" t="s">
        <v>53</v>
      </c>
      <c r="C18" s="51"/>
      <c r="D18" s="51"/>
      <c r="E18" s="111"/>
      <c r="F18" s="51"/>
      <c r="G18" s="210"/>
      <c r="H18" s="80"/>
      <c r="K18" s="117"/>
      <c r="Q18" s="85"/>
    </row>
    <row r="22" spans="1:17" ht="15.95" customHeight="1">
      <c r="B22" s="53" t="s">
        <v>81</v>
      </c>
      <c r="E22" s="458" t="s">
        <v>143</v>
      </c>
      <c r="F22" s="458"/>
      <c r="G22" s="458"/>
    </row>
    <row r="23" spans="1:17" ht="84.75" customHeight="1">
      <c r="B23" s="53" t="s">
        <v>84</v>
      </c>
      <c r="E23" s="458" t="s">
        <v>241</v>
      </c>
      <c r="F23" s="458"/>
      <c r="G23" s="458"/>
    </row>
    <row r="25" spans="1:17">
      <c r="B25" s="53" t="s">
        <v>82</v>
      </c>
    </row>
    <row r="26" spans="1:17" ht="63.75">
      <c r="B26" s="53" t="s">
        <v>83</v>
      </c>
    </row>
    <row r="28" spans="1:17">
      <c r="K28" s="53"/>
    </row>
    <row r="29" spans="1:17">
      <c r="K29" s="53"/>
    </row>
    <row r="33" spans="1:17">
      <c r="B33" s="53" t="s">
        <v>166</v>
      </c>
    </row>
    <row r="34" spans="1:17" s="7" customFormat="1">
      <c r="A34" s="43"/>
      <c r="B34" s="53"/>
      <c r="C34" s="41"/>
      <c r="D34" s="41"/>
      <c r="E34" s="107"/>
      <c r="F34" s="41"/>
      <c r="G34" s="97"/>
      <c r="H34" s="38"/>
      <c r="I34" s="26"/>
      <c r="J34" s="22"/>
      <c r="M34" s="30"/>
      <c r="N34" s="30"/>
      <c r="O34" s="30"/>
      <c r="Q34" s="82"/>
    </row>
    <row r="35" spans="1:17">
      <c r="A35" s="11" t="s">
        <v>19</v>
      </c>
      <c r="B35" s="9" t="s">
        <v>16</v>
      </c>
      <c r="C35" s="46"/>
      <c r="D35" s="7"/>
      <c r="E35" s="109"/>
      <c r="F35" s="7"/>
      <c r="G35" s="99"/>
      <c r="H35" s="7"/>
      <c r="Q35" s="91"/>
    </row>
    <row r="36" spans="1:17" s="7" customFormat="1">
      <c r="A36" s="43"/>
      <c r="B36" s="55"/>
      <c r="C36" s="56"/>
      <c r="D36" s="56"/>
      <c r="E36" s="112"/>
      <c r="F36" s="56"/>
      <c r="G36" s="101"/>
      <c r="H36" s="38"/>
      <c r="I36" s="26"/>
      <c r="J36" s="22"/>
      <c r="M36" s="30"/>
      <c r="N36" s="30"/>
      <c r="O36" s="30"/>
      <c r="Q36" s="86"/>
    </row>
    <row r="37" spans="1:17" s="7" customFormat="1">
      <c r="A37" s="11" t="s">
        <v>27</v>
      </c>
      <c r="B37" s="9" t="s">
        <v>26</v>
      </c>
      <c r="C37" s="46"/>
      <c r="E37" s="109"/>
      <c r="G37" s="99"/>
      <c r="I37" s="26"/>
      <c r="J37" s="22"/>
      <c r="M37" s="30"/>
      <c r="N37" s="30"/>
      <c r="O37" s="30"/>
      <c r="Q37" s="91"/>
    </row>
    <row r="38" spans="1:17" s="7" customFormat="1">
      <c r="A38" s="8"/>
      <c r="B38" s="9"/>
      <c r="C38" s="207" t="s">
        <v>170</v>
      </c>
      <c r="D38" s="203"/>
      <c r="E38" s="208" t="s">
        <v>171</v>
      </c>
      <c r="F38" s="203"/>
      <c r="G38" s="208" t="s">
        <v>164</v>
      </c>
      <c r="I38" s="26"/>
      <c r="J38" s="22"/>
      <c r="M38" s="30"/>
      <c r="N38" s="30"/>
      <c r="O38" s="30"/>
      <c r="Q38" s="91"/>
    </row>
    <row r="39" spans="1:17" s="17" customFormat="1" ht="39">
      <c r="A39" s="12" t="s">
        <v>28</v>
      </c>
      <c r="B39" s="13" t="s">
        <v>139</v>
      </c>
      <c r="C39" s="46"/>
      <c r="D39" s="7"/>
      <c r="E39" s="109"/>
      <c r="F39" s="7"/>
      <c r="G39" s="99"/>
      <c r="H39" s="7"/>
      <c r="I39" s="27"/>
      <c r="J39" s="23"/>
      <c r="M39" s="31"/>
      <c r="N39" s="31"/>
      <c r="O39" s="31"/>
      <c r="Q39" s="91"/>
    </row>
    <row r="40" spans="1:17" s="7" customFormat="1">
      <c r="A40" s="18"/>
      <c r="B40" s="13"/>
      <c r="C40" s="57"/>
      <c r="D40" s="17"/>
      <c r="E40" s="113"/>
      <c r="F40" s="17"/>
      <c r="G40" s="102"/>
      <c r="H40" s="17"/>
      <c r="I40" s="26"/>
      <c r="J40" s="22"/>
      <c r="M40" s="30"/>
      <c r="N40" s="30"/>
      <c r="O40" s="30"/>
      <c r="Q40" s="92"/>
    </row>
    <row r="41" spans="1:17" s="7" customFormat="1">
      <c r="A41" s="8"/>
      <c r="B41" s="52" t="s">
        <v>22</v>
      </c>
      <c r="C41" s="214">
        <v>107</v>
      </c>
      <c r="D41" s="41"/>
      <c r="E41" s="230"/>
      <c r="F41" s="81"/>
      <c r="G41" s="213"/>
      <c r="H41" s="81"/>
      <c r="I41" s="26"/>
      <c r="J41" s="22"/>
      <c r="M41" s="30"/>
      <c r="N41" s="30"/>
      <c r="O41" s="30"/>
      <c r="Q41" s="82"/>
    </row>
    <row r="42" spans="1:17" s="7" customFormat="1">
      <c r="A42" s="8"/>
      <c r="B42" s="14"/>
      <c r="C42" s="46"/>
      <c r="E42" s="231"/>
      <c r="G42" s="99"/>
      <c r="I42" s="26"/>
      <c r="J42" s="22"/>
      <c r="M42" s="30"/>
      <c r="N42" s="30"/>
      <c r="O42" s="30"/>
      <c r="Q42" s="91"/>
    </row>
    <row r="43" spans="1:17" s="19" customFormat="1" ht="76.5">
      <c r="A43" s="12" t="s">
        <v>30</v>
      </c>
      <c r="B43" s="127" t="s">
        <v>140</v>
      </c>
      <c r="C43" s="46"/>
      <c r="D43" s="7"/>
      <c r="E43" s="231"/>
      <c r="F43" s="7"/>
      <c r="G43" s="99"/>
      <c r="H43" s="7"/>
      <c r="I43" s="28"/>
      <c r="J43" s="24"/>
      <c r="K43" s="52"/>
      <c r="M43" s="32"/>
      <c r="N43" s="32"/>
      <c r="O43" s="32"/>
      <c r="Q43" s="91"/>
    </row>
    <row r="44" spans="1:17" s="7" customFormat="1">
      <c r="A44" s="20"/>
      <c r="B44" s="52"/>
      <c r="C44" s="58"/>
      <c r="D44" s="19"/>
      <c r="E44" s="231"/>
      <c r="F44" s="19"/>
      <c r="G44" s="103"/>
      <c r="H44" s="19"/>
      <c r="I44" s="26"/>
      <c r="J44" s="22"/>
      <c r="M44" s="30"/>
      <c r="N44" s="30"/>
      <c r="O44" s="30"/>
      <c r="Q44" s="93"/>
    </row>
    <row r="45" spans="1:17" s="7" customFormat="1">
      <c r="A45" s="8"/>
      <c r="B45" s="52" t="s">
        <v>55</v>
      </c>
      <c r="C45" s="214">
        <v>1</v>
      </c>
      <c r="D45" s="41"/>
      <c r="E45" s="232"/>
      <c r="F45" s="81"/>
      <c r="G45" s="213"/>
      <c r="H45" s="81"/>
      <c r="I45" s="26"/>
      <c r="J45" s="22"/>
      <c r="M45" s="30"/>
      <c r="N45" s="30"/>
      <c r="O45" s="30"/>
      <c r="Q45" s="82"/>
    </row>
    <row r="46" spans="1:17" s="7" customFormat="1">
      <c r="A46" s="8"/>
      <c r="B46" s="52"/>
      <c r="C46" s="41"/>
      <c r="D46" s="41"/>
      <c r="E46" s="231"/>
      <c r="F46" s="41"/>
      <c r="G46" s="97"/>
      <c r="H46" s="41"/>
      <c r="I46" s="26"/>
      <c r="J46" s="22"/>
      <c r="M46" s="30"/>
      <c r="N46" s="30"/>
      <c r="O46" s="30"/>
      <c r="Q46" s="82"/>
    </row>
    <row r="47" spans="1:17" s="19" customFormat="1" ht="57.75" customHeight="1">
      <c r="A47" s="12" t="s">
        <v>56</v>
      </c>
      <c r="B47" s="52" t="s">
        <v>68</v>
      </c>
      <c r="C47" s="41"/>
      <c r="D47" s="41"/>
      <c r="E47" s="231"/>
      <c r="F47" s="41"/>
      <c r="G47" s="97"/>
      <c r="H47" s="7"/>
      <c r="I47" s="28"/>
      <c r="J47" s="24"/>
      <c r="M47" s="32"/>
      <c r="N47" s="32"/>
      <c r="O47" s="32"/>
      <c r="Q47" s="82"/>
    </row>
    <row r="48" spans="1:17" s="7" customFormat="1">
      <c r="A48" s="20"/>
      <c r="B48" s="52"/>
      <c r="C48" s="59"/>
      <c r="D48" s="59"/>
      <c r="E48" s="231"/>
      <c r="F48" s="59"/>
      <c r="G48" s="104"/>
      <c r="H48" s="19"/>
      <c r="I48" s="26"/>
      <c r="J48" s="22"/>
      <c r="M48" s="30"/>
      <c r="N48" s="30"/>
      <c r="O48" s="30"/>
      <c r="Q48" s="87"/>
    </row>
    <row r="49" spans="1:17" s="7" customFormat="1">
      <c r="A49" s="8"/>
      <c r="B49" s="52" t="s">
        <v>23</v>
      </c>
      <c r="C49" s="214">
        <f>INT(C41/20)+1</f>
        <v>6</v>
      </c>
      <c r="D49" s="41"/>
      <c r="E49" s="232"/>
      <c r="F49" s="81"/>
      <c r="G49" s="213"/>
      <c r="H49" s="81"/>
      <c r="I49" s="26"/>
      <c r="J49" s="22"/>
      <c r="M49" s="30"/>
      <c r="N49" s="30"/>
      <c r="O49" s="30"/>
      <c r="Q49" s="82"/>
    </row>
    <row r="50" spans="1:17" s="7" customFormat="1">
      <c r="A50" s="8"/>
      <c r="B50" s="52"/>
      <c r="C50" s="41"/>
      <c r="D50" s="41"/>
      <c r="E50" s="231"/>
      <c r="F50" s="41"/>
      <c r="G50" s="97"/>
      <c r="H50" s="41"/>
      <c r="I50" s="26"/>
      <c r="J50" s="22"/>
      <c r="M50" s="30"/>
      <c r="N50" s="30"/>
      <c r="O50" s="30"/>
      <c r="Q50" s="82"/>
    </row>
    <row r="51" spans="1:17" s="7" customFormat="1" ht="38.25">
      <c r="A51" s="12" t="s">
        <v>5</v>
      </c>
      <c r="B51" s="52" t="s">
        <v>6</v>
      </c>
      <c r="C51" s="41"/>
      <c r="D51" s="41"/>
      <c r="E51" s="231"/>
      <c r="F51" s="41"/>
      <c r="G51" s="97"/>
      <c r="I51" s="26"/>
      <c r="J51" s="22"/>
      <c r="M51" s="30"/>
      <c r="N51" s="30"/>
      <c r="O51" s="30"/>
      <c r="Q51" s="82"/>
    </row>
    <row r="52" spans="1:17" s="7" customFormat="1">
      <c r="A52" s="20"/>
      <c r="B52" s="52"/>
      <c r="C52" s="59"/>
      <c r="D52" s="59"/>
      <c r="E52" s="233"/>
      <c r="F52" s="59"/>
      <c r="G52" s="104"/>
      <c r="H52" s="19"/>
      <c r="I52" s="26"/>
      <c r="J52" s="22"/>
      <c r="M52" s="30"/>
      <c r="N52" s="30"/>
      <c r="O52" s="30"/>
      <c r="Q52" s="87"/>
    </row>
    <row r="53" spans="1:17" s="7" customFormat="1">
      <c r="A53" s="8"/>
      <c r="B53" s="52" t="s">
        <v>29</v>
      </c>
      <c r="C53" s="214">
        <v>1</v>
      </c>
      <c r="D53" s="41"/>
      <c r="E53" s="232"/>
      <c r="F53" s="81"/>
      <c r="G53" s="213"/>
      <c r="H53" s="81"/>
      <c r="I53" s="26"/>
      <c r="J53" s="22"/>
      <c r="M53" s="30"/>
      <c r="N53" s="30"/>
      <c r="O53" s="30"/>
      <c r="Q53" s="82"/>
    </row>
    <row r="54" spans="1:17" s="7" customFormat="1">
      <c r="A54" s="8"/>
      <c r="B54" s="52"/>
      <c r="C54" s="41"/>
      <c r="D54" s="41"/>
      <c r="E54" s="231"/>
      <c r="F54" s="41"/>
      <c r="G54" s="97"/>
      <c r="H54" s="41"/>
      <c r="I54" s="26"/>
      <c r="J54" s="22"/>
      <c r="M54" s="30"/>
      <c r="N54" s="30"/>
      <c r="O54" s="30"/>
      <c r="Q54" s="82"/>
    </row>
    <row r="55" spans="1:17" s="19" customFormat="1" ht="48" customHeight="1">
      <c r="A55" s="12" t="s">
        <v>75</v>
      </c>
      <c r="B55" s="52" t="s">
        <v>136</v>
      </c>
      <c r="C55" s="41"/>
      <c r="D55" s="41"/>
      <c r="E55" s="231"/>
      <c r="F55" s="41"/>
      <c r="G55" s="97"/>
      <c r="H55" s="7"/>
      <c r="I55" s="28"/>
      <c r="J55" s="24"/>
      <c r="M55" s="32"/>
      <c r="N55" s="32"/>
      <c r="O55" s="32"/>
      <c r="Q55" s="82"/>
    </row>
    <row r="56" spans="1:17" s="7" customFormat="1">
      <c r="A56" s="20"/>
      <c r="B56" s="52"/>
      <c r="C56" s="59"/>
      <c r="D56" s="59"/>
      <c r="E56" s="233"/>
      <c r="F56" s="59"/>
      <c r="G56" s="104"/>
      <c r="H56" s="19"/>
      <c r="I56" s="26"/>
      <c r="J56" s="22"/>
      <c r="M56" s="30"/>
      <c r="N56" s="30"/>
      <c r="O56" s="30"/>
      <c r="Q56" s="87"/>
    </row>
    <row r="57" spans="1:17" s="7" customFormat="1">
      <c r="A57" s="8"/>
      <c r="B57" s="52" t="s">
        <v>23</v>
      </c>
      <c r="C57" s="214">
        <v>1</v>
      </c>
      <c r="D57" s="41"/>
      <c r="E57" s="232"/>
      <c r="F57" s="81"/>
      <c r="G57" s="213"/>
      <c r="H57" s="81"/>
      <c r="I57" s="26"/>
      <c r="J57" s="22"/>
      <c r="M57" s="30"/>
      <c r="N57" s="30"/>
      <c r="O57" s="30"/>
      <c r="Q57" s="82"/>
    </row>
    <row r="58" spans="1:17" s="7" customFormat="1">
      <c r="A58" s="8"/>
      <c r="B58" s="52"/>
      <c r="C58" s="41"/>
      <c r="D58" s="41"/>
      <c r="E58" s="231"/>
      <c r="F58" s="81"/>
      <c r="G58" s="97"/>
      <c r="H58" s="81"/>
      <c r="I58" s="26"/>
      <c r="J58" s="22"/>
      <c r="M58" s="30"/>
      <c r="N58" s="30"/>
      <c r="O58" s="30"/>
      <c r="Q58" s="82"/>
    </row>
    <row r="59" spans="1:17" s="19" customFormat="1" ht="34.5" customHeight="1">
      <c r="A59" s="12" t="s">
        <v>137</v>
      </c>
      <c r="B59" s="52" t="s">
        <v>138</v>
      </c>
      <c r="C59" s="41"/>
      <c r="D59" s="41"/>
      <c r="E59" s="231"/>
      <c r="F59" s="41"/>
      <c r="G59" s="97"/>
      <c r="H59" s="7"/>
      <c r="I59" s="28"/>
      <c r="J59" s="24"/>
      <c r="M59" s="32"/>
      <c r="N59" s="32"/>
      <c r="O59" s="32"/>
      <c r="Q59" s="82"/>
    </row>
    <row r="60" spans="1:17" s="7" customFormat="1">
      <c r="A60" s="20"/>
      <c r="B60" s="52"/>
      <c r="C60" s="59"/>
      <c r="D60" s="59"/>
      <c r="E60" s="233"/>
      <c r="F60" s="59"/>
      <c r="G60" s="104"/>
      <c r="H60" s="19"/>
      <c r="I60" s="26"/>
      <c r="J60" s="22"/>
      <c r="M60" s="30"/>
      <c r="N60" s="30"/>
      <c r="O60" s="30"/>
      <c r="Q60" s="87"/>
    </row>
    <row r="61" spans="1:17" s="7" customFormat="1">
      <c r="A61" s="8"/>
      <c r="B61" s="52" t="s">
        <v>71</v>
      </c>
      <c r="C61" s="214">
        <v>107</v>
      </c>
      <c r="D61" s="41"/>
      <c r="E61" s="232"/>
      <c r="F61" s="81"/>
      <c r="G61" s="213"/>
      <c r="H61" s="81"/>
      <c r="I61" s="26"/>
      <c r="J61" s="22"/>
      <c r="M61" s="30"/>
      <c r="N61" s="30"/>
      <c r="O61" s="30"/>
      <c r="Q61" s="82"/>
    </row>
    <row r="62" spans="1:17" s="7" customFormat="1">
      <c r="A62" s="8"/>
      <c r="B62" s="52"/>
      <c r="E62" s="241"/>
      <c r="H62" s="41"/>
      <c r="I62" s="26"/>
      <c r="J62" s="22"/>
      <c r="M62" s="30"/>
      <c r="N62" s="30"/>
      <c r="O62" s="30"/>
      <c r="Q62" s="82"/>
    </row>
    <row r="63" spans="1:17" s="7" customFormat="1" ht="86.25" customHeight="1">
      <c r="A63" s="12" t="s">
        <v>54</v>
      </c>
      <c r="B63" s="52" t="s">
        <v>186</v>
      </c>
      <c r="C63" s="41"/>
      <c r="D63" s="41"/>
      <c r="E63" s="231"/>
      <c r="F63" s="41"/>
      <c r="G63" s="97"/>
      <c r="I63" s="26"/>
      <c r="J63" s="22"/>
      <c r="M63" s="30"/>
      <c r="N63" s="30"/>
      <c r="O63" s="30"/>
      <c r="Q63" s="82"/>
    </row>
    <row r="64" spans="1:17" s="7" customFormat="1" ht="44.25" customHeight="1">
      <c r="A64" s="8"/>
      <c r="B64" s="52" t="s">
        <v>116</v>
      </c>
      <c r="C64" s="214">
        <v>1</v>
      </c>
      <c r="D64" s="41"/>
      <c r="E64" s="232"/>
      <c r="F64" s="81"/>
      <c r="G64" s="213"/>
      <c r="H64" s="81"/>
      <c r="I64" s="26"/>
      <c r="J64" s="22"/>
      <c r="M64" s="30"/>
      <c r="N64" s="30"/>
      <c r="O64" s="30"/>
      <c r="Q64" s="82"/>
    </row>
    <row r="65" spans="1:17" s="7" customFormat="1" ht="15.95" customHeight="1">
      <c r="A65" s="8"/>
      <c r="B65" s="52"/>
      <c r="C65" s="207" t="s">
        <v>170</v>
      </c>
      <c r="D65" s="203"/>
      <c r="E65" s="235" t="s">
        <v>171</v>
      </c>
      <c r="F65" s="203"/>
      <c r="G65" s="208" t="s">
        <v>164</v>
      </c>
      <c r="I65" s="26"/>
      <c r="J65" s="22"/>
      <c r="M65" s="30"/>
      <c r="N65" s="30"/>
      <c r="O65" s="30"/>
      <c r="Q65" s="82"/>
    </row>
    <row r="66" spans="1:17" s="7" customFormat="1" ht="15.95" customHeight="1">
      <c r="A66" s="12" t="s">
        <v>61</v>
      </c>
      <c r="B66" s="52" t="s">
        <v>62</v>
      </c>
      <c r="C66" s="41"/>
      <c r="D66" s="41"/>
      <c r="E66" s="231"/>
      <c r="F66" s="41"/>
      <c r="G66" s="97"/>
      <c r="I66" s="26"/>
      <c r="J66" s="22"/>
      <c r="M66" s="30"/>
      <c r="N66" s="30"/>
      <c r="O66" s="30"/>
      <c r="Q66" s="82"/>
    </row>
    <row r="67" spans="1:17" s="7" customFormat="1" ht="15.95" customHeight="1">
      <c r="A67" s="20"/>
      <c r="B67" s="52"/>
      <c r="C67" s="59"/>
      <c r="D67" s="59"/>
      <c r="E67" s="233"/>
      <c r="F67" s="59"/>
      <c r="G67" s="104"/>
      <c r="H67" s="19"/>
      <c r="I67" s="26"/>
      <c r="J67" s="22"/>
      <c r="M67" s="30"/>
      <c r="N67" s="30"/>
      <c r="O67" s="30"/>
      <c r="Q67" s="87"/>
    </row>
    <row r="68" spans="1:17" s="7" customFormat="1" ht="15.95" customHeight="1">
      <c r="A68" s="8"/>
      <c r="B68" s="52" t="s">
        <v>41</v>
      </c>
      <c r="C68" s="214">
        <v>4</v>
      </c>
      <c r="D68" s="41"/>
      <c r="E68" s="232"/>
      <c r="F68" s="81"/>
      <c r="G68" s="213"/>
      <c r="H68" s="81"/>
      <c r="I68" s="26"/>
      <c r="J68" s="22"/>
      <c r="M68" s="30"/>
      <c r="N68" s="30"/>
      <c r="O68" s="30"/>
      <c r="Q68" s="82"/>
    </row>
    <row r="69" spans="1:17" s="7" customFormat="1" ht="15.95" customHeight="1">
      <c r="A69" s="8"/>
      <c r="B69" s="52"/>
      <c r="C69" s="41"/>
      <c r="D69" s="41"/>
      <c r="E69" s="231"/>
      <c r="F69" s="41"/>
      <c r="G69" s="97"/>
      <c r="H69" s="41"/>
      <c r="I69" s="26"/>
      <c r="J69" s="22"/>
      <c r="M69" s="30"/>
      <c r="N69" s="30"/>
      <c r="O69" s="30"/>
      <c r="Q69" s="82"/>
    </row>
    <row r="70" spans="1:17" s="7" customFormat="1" ht="89.25" customHeight="1">
      <c r="A70" s="12" t="s">
        <v>73</v>
      </c>
      <c r="B70" s="52" t="s">
        <v>135</v>
      </c>
      <c r="C70" s="41"/>
      <c r="D70" s="41"/>
      <c r="E70" s="231"/>
      <c r="F70" s="41"/>
      <c r="G70" s="97"/>
      <c r="I70" s="26"/>
      <c r="J70" s="22"/>
      <c r="M70" s="30"/>
      <c r="N70" s="30"/>
      <c r="O70" s="30"/>
      <c r="Q70" s="82"/>
    </row>
    <row r="71" spans="1:17" s="7" customFormat="1" ht="15.95" customHeight="1">
      <c r="A71" s="20"/>
      <c r="B71" s="52"/>
      <c r="C71" s="59"/>
      <c r="D71" s="59"/>
      <c r="E71" s="233"/>
      <c r="F71" s="59"/>
      <c r="G71" s="104"/>
      <c r="H71" s="19"/>
      <c r="I71" s="26"/>
      <c r="J71" s="22"/>
      <c r="M71" s="30"/>
      <c r="N71" s="30"/>
      <c r="O71" s="30"/>
      <c r="Q71" s="87"/>
    </row>
    <row r="72" spans="1:17" s="7" customFormat="1" ht="15.95" customHeight="1">
      <c r="A72" s="8"/>
      <c r="B72" s="52" t="s">
        <v>23</v>
      </c>
      <c r="C72" s="214">
        <v>1</v>
      </c>
      <c r="D72" s="41"/>
      <c r="E72" s="232"/>
      <c r="F72" s="81"/>
      <c r="G72" s="213"/>
      <c r="H72" s="81"/>
      <c r="I72" s="26"/>
      <c r="J72" s="22"/>
      <c r="M72" s="30"/>
      <c r="N72" s="30"/>
      <c r="O72" s="30"/>
      <c r="Q72" s="82"/>
    </row>
    <row r="73" spans="1:17" s="7" customFormat="1" ht="15.95" customHeight="1">
      <c r="A73" s="8"/>
      <c r="B73" s="52"/>
      <c r="C73" s="41"/>
      <c r="D73" s="41"/>
      <c r="E73" s="231"/>
      <c r="F73" s="41"/>
      <c r="G73" s="97"/>
      <c r="H73" s="41"/>
      <c r="I73" s="26"/>
      <c r="J73" s="22"/>
      <c r="M73" s="30"/>
      <c r="N73" s="30"/>
      <c r="O73" s="30"/>
      <c r="Q73" s="82"/>
    </row>
    <row r="74" spans="1:17" s="7" customFormat="1" ht="33.950000000000003" customHeight="1">
      <c r="A74" s="12" t="s">
        <v>74</v>
      </c>
      <c r="B74" s="52" t="s">
        <v>10</v>
      </c>
      <c r="C74" s="41"/>
      <c r="D74" s="41"/>
      <c r="E74" s="231"/>
      <c r="F74" s="41"/>
      <c r="G74" s="97"/>
      <c r="I74" s="26"/>
      <c r="J74" s="22"/>
      <c r="M74" s="30"/>
      <c r="N74" s="30"/>
      <c r="O74" s="30"/>
      <c r="Q74" s="82"/>
    </row>
    <row r="75" spans="1:17" s="7" customFormat="1" ht="15.95" customHeight="1">
      <c r="A75" s="20"/>
      <c r="B75" s="52"/>
      <c r="C75" s="59"/>
      <c r="D75" s="59"/>
      <c r="E75" s="233"/>
      <c r="F75" s="59"/>
      <c r="G75" s="104"/>
      <c r="H75" s="19"/>
      <c r="I75" s="26"/>
      <c r="J75" s="22"/>
      <c r="M75" s="30"/>
      <c r="N75" s="30"/>
      <c r="O75" s="30"/>
      <c r="Q75" s="87"/>
    </row>
    <row r="76" spans="1:17" s="7" customFormat="1" ht="15.95" customHeight="1">
      <c r="A76" s="8"/>
      <c r="B76" s="52" t="s">
        <v>23</v>
      </c>
      <c r="C76" s="214">
        <v>1</v>
      </c>
      <c r="D76" s="41"/>
      <c r="E76" s="232"/>
      <c r="F76" s="81"/>
      <c r="G76" s="213"/>
      <c r="H76" s="81"/>
      <c r="I76" s="26"/>
      <c r="J76" s="22"/>
      <c r="M76" s="30"/>
      <c r="N76" s="30"/>
      <c r="O76" s="30"/>
      <c r="Q76" s="82"/>
    </row>
    <row r="77" spans="1:17" s="7" customFormat="1" ht="15.95" customHeight="1">
      <c r="A77" s="8"/>
      <c r="B77" s="52"/>
      <c r="C77" s="41"/>
      <c r="D77" s="41"/>
      <c r="E77" s="231"/>
      <c r="F77" s="41"/>
      <c r="G77" s="97"/>
      <c r="I77" s="26"/>
      <c r="J77" s="22"/>
      <c r="M77" s="30"/>
      <c r="N77" s="30"/>
      <c r="O77" s="30"/>
      <c r="Q77" s="82"/>
    </row>
    <row r="78" spans="1:17" s="7" customFormat="1" ht="31.5">
      <c r="A78" s="11"/>
      <c r="B78" s="60" t="s">
        <v>43</v>
      </c>
      <c r="C78" s="49"/>
      <c r="D78" s="49"/>
      <c r="E78" s="236"/>
      <c r="F78" s="49"/>
      <c r="G78" s="209"/>
      <c r="H78" s="49"/>
      <c r="I78" s="118"/>
      <c r="J78" s="22"/>
      <c r="M78" s="30"/>
      <c r="N78" s="30"/>
      <c r="O78" s="30"/>
      <c r="Q78" s="84"/>
    </row>
    <row r="79" spans="1:17" s="7" customFormat="1">
      <c r="A79" s="11"/>
      <c r="B79" s="60"/>
      <c r="C79" s="49"/>
      <c r="D79" s="49"/>
      <c r="E79" s="236"/>
      <c r="F79" s="49"/>
      <c r="G79" s="100"/>
      <c r="H79" s="49"/>
      <c r="I79" s="26"/>
      <c r="J79" s="22"/>
      <c r="M79" s="30"/>
      <c r="N79" s="30"/>
      <c r="O79" s="30"/>
      <c r="Q79" s="84"/>
    </row>
    <row r="80" spans="1:17" s="7" customFormat="1">
      <c r="A80" s="11" t="s">
        <v>32</v>
      </c>
      <c r="B80" s="9" t="s">
        <v>17</v>
      </c>
      <c r="C80" s="46"/>
      <c r="E80" s="237"/>
      <c r="G80" s="99"/>
      <c r="I80" s="26"/>
      <c r="J80" s="22"/>
      <c r="M80" s="30"/>
      <c r="N80" s="30"/>
      <c r="O80" s="30"/>
      <c r="Q80" s="91"/>
    </row>
    <row r="81" spans="1:10">
      <c r="B81" s="52"/>
      <c r="E81" s="231"/>
      <c r="H81" s="61"/>
    </row>
    <row r="82" spans="1:10" ht="69" customHeight="1">
      <c r="A82" s="43" t="s">
        <v>34</v>
      </c>
      <c r="B82" s="52" t="s">
        <v>133</v>
      </c>
      <c r="E82" s="231"/>
      <c r="H82" s="61"/>
      <c r="J82" s="52"/>
    </row>
    <row r="83" spans="1:10">
      <c r="B83" s="52"/>
      <c r="E83" s="231"/>
      <c r="H83" s="61"/>
    </row>
    <row r="84" spans="1:10">
      <c r="B84" s="52" t="s">
        <v>25</v>
      </c>
      <c r="C84" s="214">
        <f>19.485/0.09</f>
        <v>216.5</v>
      </c>
      <c r="E84" s="232"/>
      <c r="F84" s="81"/>
      <c r="G84" s="213"/>
      <c r="H84" s="81"/>
    </row>
    <row r="85" spans="1:10">
      <c r="B85" s="52"/>
      <c r="E85" s="231"/>
      <c r="H85" s="61"/>
    </row>
    <row r="86" spans="1:10">
      <c r="B86" s="52"/>
      <c r="E86" s="231"/>
      <c r="H86" s="61"/>
    </row>
    <row r="87" spans="1:10" ht="69" customHeight="1">
      <c r="A87" s="43" t="s">
        <v>36</v>
      </c>
      <c r="B87" s="52" t="s">
        <v>88</v>
      </c>
      <c r="E87" s="231"/>
      <c r="H87" s="61"/>
    </row>
    <row r="88" spans="1:10">
      <c r="B88" s="52"/>
      <c r="E88" s="231"/>
      <c r="H88" s="61"/>
    </row>
    <row r="89" spans="1:10" ht="25.5">
      <c r="B89" s="52" t="s">
        <v>141</v>
      </c>
      <c r="E89" s="231"/>
      <c r="H89" s="61"/>
    </row>
    <row r="90" spans="1:10">
      <c r="B90" s="52" t="s">
        <v>20</v>
      </c>
      <c r="C90" s="214">
        <f>248.15*0.8</f>
        <v>198.52</v>
      </c>
      <c r="E90" s="230"/>
      <c r="F90" s="81"/>
      <c r="G90" s="213"/>
      <c r="H90" s="81"/>
    </row>
    <row r="91" spans="1:10">
      <c r="B91" s="52"/>
      <c r="E91" s="231"/>
      <c r="H91" s="41"/>
      <c r="J91" s="36"/>
    </row>
    <row r="92" spans="1:10">
      <c r="B92" s="52" t="s">
        <v>142</v>
      </c>
      <c r="E92" s="231"/>
      <c r="H92" s="61"/>
    </row>
    <row r="93" spans="1:10">
      <c r="B93" s="52" t="s">
        <v>20</v>
      </c>
      <c r="C93" s="214">
        <f>248.15*0.2</f>
        <v>49.63</v>
      </c>
      <c r="E93" s="232"/>
      <c r="F93" s="81"/>
      <c r="G93" s="213"/>
      <c r="H93" s="81"/>
    </row>
    <row r="94" spans="1:10">
      <c r="B94" s="52"/>
      <c r="C94" s="207" t="s">
        <v>170</v>
      </c>
      <c r="D94" s="203"/>
      <c r="E94" s="235" t="s">
        <v>171</v>
      </c>
      <c r="F94" s="203"/>
      <c r="G94" s="208" t="s">
        <v>164</v>
      </c>
      <c r="H94" s="61"/>
    </row>
    <row r="95" spans="1:10" ht="67.5" customHeight="1">
      <c r="A95" s="43" t="s">
        <v>37</v>
      </c>
      <c r="B95" s="52" t="s">
        <v>89</v>
      </c>
      <c r="E95" s="231"/>
      <c r="H95" s="61"/>
    </row>
    <row r="96" spans="1:10">
      <c r="B96" s="52"/>
      <c r="E96" s="231"/>
      <c r="H96" s="61"/>
    </row>
    <row r="97" spans="1:17" ht="25.5">
      <c r="B97" s="52" t="s">
        <v>141</v>
      </c>
      <c r="E97" s="231"/>
      <c r="H97" s="61"/>
    </row>
    <row r="98" spans="1:17">
      <c r="B98" s="52" t="s">
        <v>20</v>
      </c>
      <c r="C98" s="214">
        <f>0.57*0.8</f>
        <v>0.45599999999999996</v>
      </c>
      <c r="E98" s="238"/>
      <c r="F98" s="81"/>
      <c r="G98" s="213"/>
      <c r="H98" s="81"/>
    </row>
    <row r="99" spans="1:17">
      <c r="B99" s="52"/>
      <c r="E99" s="231"/>
      <c r="H99" s="41"/>
      <c r="J99" s="36"/>
    </row>
    <row r="100" spans="1:17">
      <c r="B100" s="52" t="s">
        <v>142</v>
      </c>
      <c r="E100" s="231"/>
      <c r="H100" s="61"/>
    </row>
    <row r="101" spans="1:17">
      <c r="B101" s="52" t="s">
        <v>20</v>
      </c>
      <c r="C101" s="214">
        <f>0.57*0.2</f>
        <v>0.11399999999999999</v>
      </c>
      <c r="E101" s="230"/>
      <c r="F101" s="81"/>
      <c r="G101" s="213"/>
      <c r="H101" s="81"/>
    </row>
    <row r="102" spans="1:17" s="68" customFormat="1">
      <c r="A102" s="69"/>
      <c r="B102" s="70"/>
      <c r="C102" s="66"/>
      <c r="D102" s="66"/>
      <c r="E102" s="231"/>
      <c r="F102" s="66"/>
      <c r="G102" s="97"/>
      <c r="H102" s="67"/>
      <c r="Q102" s="88"/>
    </row>
    <row r="103" spans="1:17" s="64" customFormat="1" ht="42" customHeight="1">
      <c r="A103" s="43" t="s">
        <v>45</v>
      </c>
      <c r="B103" s="52" t="s">
        <v>38</v>
      </c>
      <c r="C103" s="41"/>
      <c r="D103" s="41"/>
      <c r="E103" s="231"/>
      <c r="F103" s="41"/>
      <c r="G103" s="97"/>
      <c r="H103" s="61"/>
      <c r="I103" s="62"/>
      <c r="J103" s="63"/>
      <c r="M103" s="65"/>
      <c r="N103" s="65"/>
      <c r="O103" s="65"/>
      <c r="Q103" s="82"/>
    </row>
    <row r="104" spans="1:17">
      <c r="B104" s="52"/>
      <c r="C104" s="59"/>
      <c r="D104" s="59"/>
      <c r="E104" s="231"/>
      <c r="F104" s="59"/>
      <c r="G104" s="104"/>
      <c r="H104" s="64"/>
      <c r="Q104" s="87"/>
    </row>
    <row r="105" spans="1:17">
      <c r="B105" s="52" t="s">
        <v>25</v>
      </c>
      <c r="C105" s="214">
        <f>C41*0.75</f>
        <v>80.25</v>
      </c>
      <c r="E105" s="232"/>
      <c r="G105" s="213"/>
      <c r="H105" s="41"/>
    </row>
    <row r="106" spans="1:17">
      <c r="B106" s="52"/>
      <c r="E106" s="231"/>
      <c r="H106" s="61"/>
    </row>
    <row r="107" spans="1:17" s="64" customFormat="1" ht="147.75" customHeight="1">
      <c r="A107" s="43" t="s">
        <v>46</v>
      </c>
      <c r="B107" s="52" t="s">
        <v>90</v>
      </c>
      <c r="C107" s="41"/>
      <c r="D107" s="41"/>
      <c r="E107" s="231"/>
      <c r="F107" s="41"/>
      <c r="G107" s="97"/>
      <c r="H107" s="61"/>
      <c r="I107" s="62"/>
      <c r="J107" s="63"/>
      <c r="M107" s="65"/>
      <c r="N107" s="65"/>
      <c r="O107" s="65"/>
      <c r="Q107" s="82"/>
    </row>
    <row r="108" spans="1:17">
      <c r="A108" s="71"/>
      <c r="B108" s="52"/>
      <c r="C108" s="59"/>
      <c r="D108" s="59"/>
      <c r="E108" s="231"/>
      <c r="F108" s="59"/>
      <c r="G108" s="104"/>
      <c r="H108" s="64"/>
      <c r="Q108" s="87"/>
    </row>
    <row r="109" spans="1:17">
      <c r="B109" s="52" t="s">
        <v>20</v>
      </c>
      <c r="C109" s="214">
        <v>15.4</v>
      </c>
      <c r="E109" s="232"/>
      <c r="G109" s="213"/>
      <c r="H109" s="41"/>
    </row>
    <row r="110" spans="1:17">
      <c r="B110" s="52"/>
      <c r="E110" s="231"/>
      <c r="H110" s="61"/>
    </row>
    <row r="111" spans="1:17" s="64" customFormat="1" ht="120" customHeight="1">
      <c r="A111" s="43" t="s">
        <v>47</v>
      </c>
      <c r="B111" s="52" t="s">
        <v>132</v>
      </c>
      <c r="C111" s="41"/>
      <c r="D111" s="41"/>
      <c r="E111" s="231"/>
      <c r="F111" s="41"/>
      <c r="G111" s="97"/>
      <c r="H111" s="61"/>
      <c r="I111" s="62"/>
      <c r="J111" s="63"/>
      <c r="M111" s="65"/>
      <c r="N111" s="65"/>
      <c r="O111" s="65"/>
      <c r="Q111" s="82"/>
    </row>
    <row r="112" spans="1:17">
      <c r="A112" s="71"/>
      <c r="B112" s="52"/>
      <c r="C112" s="59"/>
      <c r="D112" s="59"/>
      <c r="E112" s="231"/>
      <c r="F112" s="59"/>
      <c r="G112" s="104"/>
      <c r="H112" s="64"/>
      <c r="Q112" s="87"/>
    </row>
    <row r="113" spans="1:15">
      <c r="B113" s="52" t="s">
        <v>20</v>
      </c>
      <c r="C113" s="214">
        <v>52.8</v>
      </c>
      <c r="E113" s="232"/>
      <c r="G113" s="213"/>
      <c r="H113" s="41"/>
    </row>
    <row r="114" spans="1:15">
      <c r="B114" s="52"/>
      <c r="E114" s="231"/>
      <c r="H114" s="61"/>
    </row>
    <row r="115" spans="1:15" ht="96" customHeight="1">
      <c r="A115" s="43" t="s">
        <v>48</v>
      </c>
      <c r="B115" s="52" t="s">
        <v>91</v>
      </c>
      <c r="E115" s="231"/>
      <c r="H115" s="61"/>
    </row>
    <row r="116" spans="1:15">
      <c r="A116" s="71"/>
      <c r="B116" s="52"/>
      <c r="E116" s="231"/>
      <c r="H116" s="61"/>
    </row>
    <row r="117" spans="1:15">
      <c r="B117" s="52" t="s">
        <v>20</v>
      </c>
      <c r="C117" s="214">
        <f>133.85*1</f>
        <v>133.85</v>
      </c>
      <c r="E117" s="232"/>
      <c r="G117" s="213"/>
      <c r="H117" s="41"/>
    </row>
    <row r="118" spans="1:15">
      <c r="B118" s="52"/>
      <c r="C118" s="207" t="s">
        <v>170</v>
      </c>
      <c r="D118" s="203"/>
      <c r="E118" s="235" t="s">
        <v>171</v>
      </c>
      <c r="F118" s="203"/>
      <c r="G118" s="208" t="s">
        <v>164</v>
      </c>
      <c r="H118" s="61"/>
      <c r="I118" s="38"/>
      <c r="J118" s="38"/>
      <c r="M118" s="38"/>
      <c r="N118" s="38"/>
      <c r="O118" s="38"/>
    </row>
    <row r="119" spans="1:15" ht="114.75">
      <c r="A119" s="43" t="s">
        <v>50</v>
      </c>
      <c r="B119" s="52" t="s">
        <v>177</v>
      </c>
      <c r="E119" s="231"/>
      <c r="H119" s="61"/>
      <c r="K119" s="52"/>
    </row>
    <row r="120" spans="1:15">
      <c r="A120" s="71"/>
      <c r="B120" s="52"/>
      <c r="E120" s="231"/>
      <c r="H120" s="61"/>
    </row>
    <row r="121" spans="1:15">
      <c r="B121" s="52" t="s">
        <v>20</v>
      </c>
      <c r="C121" s="214">
        <v>41</v>
      </c>
      <c r="E121" s="232"/>
      <c r="G121" s="213"/>
      <c r="H121" s="41"/>
    </row>
    <row r="122" spans="1:15">
      <c r="B122" s="52"/>
      <c r="E122" s="231"/>
      <c r="H122" s="61"/>
    </row>
    <row r="123" spans="1:15" ht="327.75" customHeight="1">
      <c r="A123" s="43" t="s">
        <v>51</v>
      </c>
      <c r="B123" s="16" t="s">
        <v>168</v>
      </c>
      <c r="E123" s="231"/>
      <c r="H123" s="61"/>
    </row>
    <row r="124" spans="1:15">
      <c r="A124" s="71"/>
      <c r="B124" s="72"/>
      <c r="E124" s="231"/>
      <c r="H124" s="61"/>
    </row>
    <row r="125" spans="1:15">
      <c r="B125" s="52" t="s">
        <v>25</v>
      </c>
      <c r="C125" s="214">
        <f>C84</f>
        <v>216.5</v>
      </c>
      <c r="E125" s="230"/>
      <c r="G125" s="213"/>
      <c r="H125" s="41"/>
    </row>
    <row r="126" spans="1:15">
      <c r="B126" s="52"/>
      <c r="E126" s="231"/>
      <c r="H126" s="41"/>
    </row>
    <row r="127" spans="1:15" ht="55.7" customHeight="1">
      <c r="A127" s="43" t="s">
        <v>67</v>
      </c>
      <c r="B127" s="16" t="s">
        <v>249</v>
      </c>
      <c r="E127" s="231"/>
      <c r="H127" s="61"/>
    </row>
    <row r="128" spans="1:15">
      <c r="A128" s="71"/>
      <c r="B128" s="72"/>
      <c r="E128" s="231"/>
      <c r="H128" s="61"/>
    </row>
    <row r="129" spans="1:17">
      <c r="B129" s="52" t="s">
        <v>25</v>
      </c>
      <c r="C129" s="214">
        <v>73.5</v>
      </c>
      <c r="E129" s="232"/>
      <c r="G129" s="213"/>
      <c r="H129" s="41"/>
    </row>
    <row r="130" spans="1:17">
      <c r="B130" s="52"/>
      <c r="C130" s="207" t="s">
        <v>170</v>
      </c>
      <c r="D130" s="203"/>
      <c r="E130" s="235" t="s">
        <v>171</v>
      </c>
      <c r="F130" s="203"/>
      <c r="G130" s="208" t="s">
        <v>164</v>
      </c>
      <c r="H130" s="61"/>
    </row>
    <row r="131" spans="1:17" ht="116.25">
      <c r="A131" s="43" t="s">
        <v>57</v>
      </c>
      <c r="B131" s="52" t="s">
        <v>96</v>
      </c>
      <c r="E131" s="231"/>
      <c r="H131" s="61"/>
    </row>
    <row r="132" spans="1:17">
      <c r="B132" s="52"/>
      <c r="E132" s="231"/>
      <c r="H132" s="61"/>
    </row>
    <row r="133" spans="1:17">
      <c r="B133" s="52" t="s">
        <v>20</v>
      </c>
      <c r="C133" s="214">
        <f>(248.72)*1.3</f>
        <v>323.33600000000001</v>
      </c>
      <c r="E133" s="232"/>
      <c r="G133" s="213"/>
      <c r="H133" s="41"/>
    </row>
    <row r="134" spans="1:17">
      <c r="B134" s="52"/>
      <c r="E134" s="231"/>
      <c r="H134" s="61"/>
    </row>
    <row r="135" spans="1:17" ht="55.7" customHeight="1">
      <c r="A135" s="43" t="s">
        <v>64</v>
      </c>
      <c r="B135" s="52" t="s">
        <v>97</v>
      </c>
      <c r="E135" s="231"/>
      <c r="H135" s="61"/>
    </row>
    <row r="136" spans="1:17">
      <c r="B136" s="52"/>
      <c r="E136" s="231"/>
      <c r="H136" s="61"/>
    </row>
    <row r="137" spans="1:17">
      <c r="B137" s="52" t="s">
        <v>41</v>
      </c>
      <c r="C137" s="214">
        <v>1</v>
      </c>
      <c r="E137" s="232"/>
      <c r="G137" s="213"/>
      <c r="H137" s="41"/>
    </row>
    <row r="138" spans="1:17">
      <c r="B138" s="52"/>
      <c r="E138" s="231"/>
      <c r="H138" s="61"/>
    </row>
    <row r="139" spans="1:17" s="64" customFormat="1" ht="63.75">
      <c r="A139" s="43" t="s">
        <v>65</v>
      </c>
      <c r="B139" s="52" t="s">
        <v>7</v>
      </c>
      <c r="C139" s="41"/>
      <c r="D139" s="41"/>
      <c r="E139" s="231"/>
      <c r="F139" s="41"/>
      <c r="G139" s="97"/>
      <c r="H139" s="61"/>
      <c r="I139" s="62"/>
      <c r="J139" s="63"/>
      <c r="M139" s="65"/>
      <c r="N139" s="65"/>
      <c r="O139" s="65"/>
      <c r="Q139" s="82"/>
    </row>
    <row r="140" spans="1:17">
      <c r="B140" s="52"/>
      <c r="C140" s="59"/>
      <c r="D140" s="59"/>
      <c r="E140" s="233"/>
      <c r="F140" s="59"/>
      <c r="G140" s="104"/>
      <c r="H140" s="64"/>
      <c r="Q140" s="87"/>
    </row>
    <row r="141" spans="1:17">
      <c r="B141" s="52" t="s">
        <v>39</v>
      </c>
      <c r="E141" s="231"/>
      <c r="G141" s="213"/>
      <c r="H141" s="41"/>
    </row>
    <row r="142" spans="1:17">
      <c r="B142" s="52"/>
      <c r="E142" s="231"/>
      <c r="H142" s="61"/>
    </row>
    <row r="143" spans="1:17" s="7" customFormat="1">
      <c r="A143" s="43"/>
      <c r="B143" s="60" t="s">
        <v>21</v>
      </c>
      <c r="C143" s="56"/>
      <c r="D143" s="56"/>
      <c r="E143" s="239"/>
      <c r="F143" s="56"/>
      <c r="G143" s="209"/>
      <c r="H143" s="49"/>
      <c r="I143" s="26"/>
      <c r="J143" s="22"/>
      <c r="M143" s="30"/>
      <c r="N143" s="30"/>
      <c r="O143" s="30"/>
      <c r="Q143" s="86"/>
    </row>
    <row r="144" spans="1:17" ht="15.95" customHeight="1">
      <c r="A144" s="47"/>
      <c r="B144" s="9"/>
      <c r="C144" s="56"/>
      <c r="D144" s="56"/>
      <c r="E144" s="239"/>
      <c r="F144" s="56"/>
      <c r="G144" s="100"/>
      <c r="Q144" s="86"/>
    </row>
    <row r="145" spans="1:17">
      <c r="A145" s="11" t="s">
        <v>42</v>
      </c>
      <c r="B145" s="9" t="s">
        <v>18</v>
      </c>
      <c r="C145" s="46"/>
      <c r="D145" s="7"/>
      <c r="E145" s="237"/>
      <c r="F145" s="7"/>
      <c r="G145" s="99"/>
      <c r="H145" s="7"/>
      <c r="Q145" s="91"/>
    </row>
    <row r="146" spans="1:17">
      <c r="A146" s="11"/>
      <c r="B146" s="9"/>
      <c r="C146" s="46"/>
      <c r="D146" s="7"/>
      <c r="E146" s="237"/>
      <c r="F146" s="7"/>
      <c r="G146" s="99"/>
      <c r="H146" s="7"/>
      <c r="Q146" s="91"/>
    </row>
    <row r="147" spans="1:17" ht="43.5" customHeight="1">
      <c r="A147" s="43" t="s">
        <v>112</v>
      </c>
      <c r="B147" s="73" t="s">
        <v>98</v>
      </c>
      <c r="E147" s="231"/>
      <c r="H147" s="61"/>
    </row>
    <row r="148" spans="1:17">
      <c r="B148" s="52"/>
      <c r="E148" s="231"/>
      <c r="H148" s="61"/>
    </row>
    <row r="149" spans="1:17">
      <c r="B149" s="52" t="s">
        <v>22</v>
      </c>
      <c r="C149" s="214">
        <v>107</v>
      </c>
      <c r="E149" s="232"/>
      <c r="G149" s="213"/>
      <c r="H149" s="41"/>
    </row>
    <row r="150" spans="1:17">
      <c r="B150" s="52"/>
      <c r="C150" s="120"/>
      <c r="E150" s="231"/>
      <c r="H150" s="41"/>
    </row>
    <row r="151" spans="1:17" ht="97.5" customHeight="1">
      <c r="A151" s="43" t="s">
        <v>78</v>
      </c>
      <c r="B151" s="73" t="s">
        <v>99</v>
      </c>
      <c r="E151" s="231"/>
      <c r="H151" s="61"/>
    </row>
    <row r="152" spans="1:17">
      <c r="B152" s="52"/>
      <c r="E152" s="231"/>
      <c r="H152" s="61"/>
    </row>
    <row r="153" spans="1:17">
      <c r="B153" s="52" t="s">
        <v>22</v>
      </c>
      <c r="C153" s="214">
        <v>107</v>
      </c>
      <c r="E153" s="230"/>
      <c r="G153" s="213"/>
      <c r="H153" s="41"/>
    </row>
    <row r="154" spans="1:17" s="79" customFormat="1">
      <c r="A154" s="43"/>
      <c r="B154" s="52"/>
      <c r="C154" s="207" t="s">
        <v>170</v>
      </c>
      <c r="D154" s="203"/>
      <c r="E154" s="235" t="s">
        <v>171</v>
      </c>
      <c r="F154" s="203"/>
      <c r="G154" s="208" t="s">
        <v>164</v>
      </c>
      <c r="H154" s="41"/>
      <c r="Q154" s="95"/>
    </row>
    <row r="155" spans="1:17" s="79" customFormat="1" ht="114" customHeight="1">
      <c r="A155" s="43" t="s">
        <v>101</v>
      </c>
      <c r="B155" s="10" t="s">
        <v>127</v>
      </c>
      <c r="C155" s="41"/>
      <c r="D155" s="41"/>
      <c r="E155" s="231"/>
      <c r="F155" s="41"/>
      <c r="G155" s="97"/>
      <c r="H155" s="125"/>
      <c r="K155" s="10"/>
      <c r="Q155" s="82"/>
    </row>
    <row r="156" spans="1:17" s="79" customFormat="1">
      <c r="A156" s="43"/>
      <c r="B156" s="52" t="s">
        <v>117</v>
      </c>
      <c r="C156" s="216">
        <v>6</v>
      </c>
      <c r="D156" s="41"/>
      <c r="E156" s="232"/>
      <c r="F156" s="41"/>
      <c r="G156" s="213"/>
      <c r="H156" s="41"/>
      <c r="Q156" s="95"/>
    </row>
    <row r="157" spans="1:17" s="79" customFormat="1">
      <c r="A157" s="43"/>
      <c r="B157" s="52"/>
      <c r="C157" s="124"/>
      <c r="D157" s="41"/>
      <c r="E157" s="231"/>
      <c r="F157" s="41"/>
      <c r="G157" s="97"/>
      <c r="H157" s="41"/>
      <c r="Q157" s="95"/>
    </row>
    <row r="158" spans="1:17" s="79" customFormat="1">
      <c r="A158" s="43"/>
      <c r="B158" s="52"/>
      <c r="E158" s="242"/>
      <c r="H158" s="41"/>
      <c r="Q158" s="95"/>
    </row>
    <row r="159" spans="1:17" s="79" customFormat="1" ht="162" customHeight="1">
      <c r="A159" s="43" t="s">
        <v>79</v>
      </c>
      <c r="B159" s="10" t="s">
        <v>128</v>
      </c>
      <c r="C159" s="41"/>
      <c r="D159" s="41"/>
      <c r="E159" s="231"/>
      <c r="F159" s="41"/>
      <c r="G159" s="97"/>
      <c r="H159" s="125"/>
      <c r="K159" s="10"/>
      <c r="Q159" s="82"/>
    </row>
    <row r="160" spans="1:17" s="79" customFormat="1">
      <c r="A160" s="43"/>
      <c r="B160" s="52"/>
      <c r="C160" s="41"/>
      <c r="D160" s="41"/>
      <c r="E160" s="231"/>
      <c r="F160" s="41"/>
      <c r="G160" s="97"/>
      <c r="H160" s="125"/>
      <c r="Q160" s="82"/>
    </row>
    <row r="161" spans="1:17" s="79" customFormat="1">
      <c r="A161" s="43"/>
      <c r="B161" s="52" t="s">
        <v>117</v>
      </c>
      <c r="C161" s="216">
        <f>C156</f>
        <v>6</v>
      </c>
      <c r="D161" s="41"/>
      <c r="E161" s="232"/>
      <c r="F161" s="41"/>
      <c r="G161" s="213"/>
      <c r="H161" s="41"/>
      <c r="Q161" s="95"/>
    </row>
    <row r="162" spans="1:17" s="5" customFormat="1">
      <c r="A162" s="6"/>
      <c r="B162" s="10"/>
      <c r="C162" s="4"/>
      <c r="D162" s="2"/>
      <c r="E162" s="231"/>
      <c r="F162" s="2"/>
      <c r="G162" s="105"/>
      <c r="H162" s="2"/>
      <c r="Q162" s="89"/>
    </row>
    <row r="163" spans="1:17" s="5" customFormat="1" ht="211.5" customHeight="1">
      <c r="A163" s="6" t="s">
        <v>109</v>
      </c>
      <c r="B163" s="126" t="s">
        <v>167</v>
      </c>
      <c r="C163" s="2"/>
      <c r="D163" s="2"/>
      <c r="E163" s="231"/>
      <c r="F163" s="2"/>
      <c r="G163" s="105"/>
      <c r="H163" s="15"/>
      <c r="K163" s="10"/>
      <c r="Q163" s="89"/>
    </row>
    <row r="164" spans="1:17" s="5" customFormat="1">
      <c r="A164" s="6"/>
      <c r="B164" s="10"/>
      <c r="C164" s="2"/>
      <c r="D164" s="2"/>
      <c r="E164" s="231"/>
      <c r="F164" s="2"/>
      <c r="G164" s="105"/>
      <c r="H164" s="15"/>
      <c r="Q164" s="89"/>
    </row>
    <row r="165" spans="1:17" s="5" customFormat="1">
      <c r="A165" s="6"/>
      <c r="B165" s="10" t="s">
        <v>23</v>
      </c>
      <c r="C165" s="217">
        <v>4</v>
      </c>
      <c r="D165" s="2"/>
      <c r="E165" s="232"/>
      <c r="F165" s="2"/>
      <c r="G165" s="218"/>
      <c r="H165" s="2"/>
      <c r="J165" s="122"/>
      <c r="Q165" s="89"/>
    </row>
    <row r="166" spans="1:17">
      <c r="B166" s="52"/>
      <c r="E166" s="231"/>
      <c r="H166" s="61"/>
      <c r="I166" s="38"/>
      <c r="J166" s="38"/>
      <c r="M166" s="38"/>
      <c r="N166" s="38"/>
      <c r="O166" s="38"/>
    </row>
    <row r="167" spans="1:17" ht="40.5" customHeight="1">
      <c r="A167" s="43" t="s">
        <v>1</v>
      </c>
      <c r="B167" s="52" t="s">
        <v>104</v>
      </c>
      <c r="E167" s="231"/>
      <c r="H167" s="61"/>
    </row>
    <row r="168" spans="1:17">
      <c r="B168" s="52"/>
      <c r="E168" s="231"/>
      <c r="H168" s="61"/>
    </row>
    <row r="169" spans="1:17">
      <c r="B169" s="52" t="s">
        <v>23</v>
      </c>
      <c r="C169" s="214">
        <v>6</v>
      </c>
      <c r="E169" s="232"/>
      <c r="G169" s="213"/>
      <c r="H169" s="41"/>
      <c r="Q169" s="95"/>
    </row>
    <row r="170" spans="1:17">
      <c r="B170" s="52"/>
      <c r="C170" s="207" t="s">
        <v>170</v>
      </c>
      <c r="D170" s="203"/>
      <c r="E170" s="235" t="s">
        <v>171</v>
      </c>
      <c r="F170" s="203"/>
      <c r="G170" s="208" t="s">
        <v>164</v>
      </c>
      <c r="H170" s="41"/>
      <c r="Q170" s="95"/>
    </row>
    <row r="171" spans="1:17" ht="30.75" customHeight="1">
      <c r="A171" s="43" t="s">
        <v>105</v>
      </c>
      <c r="B171" s="52" t="s">
        <v>103</v>
      </c>
      <c r="E171" s="231"/>
      <c r="H171" s="61"/>
    </row>
    <row r="172" spans="1:17">
      <c r="B172" s="52"/>
      <c r="E172" s="231"/>
      <c r="H172" s="49"/>
    </row>
    <row r="173" spans="1:17">
      <c r="B173" s="52" t="s">
        <v>22</v>
      </c>
      <c r="C173" s="214">
        <v>107</v>
      </c>
      <c r="E173" s="230"/>
      <c r="G173" s="213"/>
      <c r="H173" s="41"/>
    </row>
    <row r="174" spans="1:17">
      <c r="B174" s="52"/>
      <c r="E174" s="231"/>
      <c r="H174" s="41"/>
      <c r="Q174" s="95"/>
    </row>
    <row r="175" spans="1:17" ht="42.75" customHeight="1">
      <c r="A175" s="43" t="s">
        <v>2</v>
      </c>
      <c r="B175" s="52" t="s">
        <v>102</v>
      </c>
      <c r="E175" s="231"/>
      <c r="H175" s="61"/>
    </row>
    <row r="176" spans="1:17">
      <c r="B176" s="52"/>
      <c r="E176" s="231"/>
      <c r="H176" s="49"/>
    </row>
    <row r="177" spans="1:17">
      <c r="B177" s="52" t="s">
        <v>22</v>
      </c>
      <c r="C177" s="214">
        <v>107</v>
      </c>
      <c r="E177" s="230"/>
      <c r="G177" s="213"/>
      <c r="H177" s="41"/>
    </row>
    <row r="178" spans="1:17">
      <c r="B178" s="52"/>
      <c r="E178" s="240"/>
      <c r="H178" s="41"/>
    </row>
    <row r="179" spans="1:17" ht="22.5" customHeight="1">
      <c r="A179" s="43" t="s">
        <v>110</v>
      </c>
      <c r="B179" s="52" t="s">
        <v>106</v>
      </c>
      <c r="E179" s="231"/>
      <c r="H179" s="61"/>
    </row>
    <row r="180" spans="1:17">
      <c r="B180" s="52"/>
      <c r="E180" s="231"/>
      <c r="H180" s="49"/>
    </row>
    <row r="181" spans="1:17">
      <c r="B181" s="52" t="s">
        <v>22</v>
      </c>
      <c r="C181" s="214">
        <v>107</v>
      </c>
      <c r="E181" s="230"/>
      <c r="G181" s="213"/>
      <c r="H181" s="41"/>
    </row>
    <row r="182" spans="1:17">
      <c r="B182" s="52"/>
      <c r="H182" s="61"/>
    </row>
    <row r="183" spans="1:17" s="5" customFormat="1">
      <c r="A183" s="6"/>
      <c r="B183" s="10"/>
      <c r="H183" s="15"/>
      <c r="Q183" s="89"/>
    </row>
    <row r="184" spans="1:17" s="64" customFormat="1" ht="63.75">
      <c r="A184" s="43" t="s">
        <v>111</v>
      </c>
      <c r="B184" s="52" t="s">
        <v>9</v>
      </c>
      <c r="C184" s="41"/>
      <c r="D184" s="41"/>
      <c r="E184" s="107"/>
      <c r="F184" s="41"/>
      <c r="G184" s="97"/>
      <c r="H184" s="61"/>
      <c r="I184" s="62"/>
      <c r="J184" s="63"/>
      <c r="M184" s="65"/>
      <c r="N184" s="65"/>
      <c r="O184" s="65"/>
      <c r="Q184" s="82"/>
    </row>
    <row r="185" spans="1:17">
      <c r="B185" s="52"/>
      <c r="C185" s="59"/>
      <c r="D185" s="59"/>
      <c r="E185" s="114"/>
      <c r="F185" s="59"/>
      <c r="G185" s="104"/>
      <c r="H185" s="64"/>
      <c r="Q185" s="87"/>
    </row>
    <row r="186" spans="1:17">
      <c r="B186" s="52" t="s">
        <v>39</v>
      </c>
      <c r="G186" s="213"/>
      <c r="H186" s="41"/>
      <c r="J186" s="97"/>
      <c r="K186" s="97"/>
    </row>
    <row r="187" spans="1:17">
      <c r="B187" s="52"/>
      <c r="H187" s="61"/>
    </row>
    <row r="188" spans="1:17">
      <c r="B188" s="48" t="s">
        <v>24</v>
      </c>
      <c r="C188" s="56"/>
      <c r="D188" s="56"/>
      <c r="E188" s="112"/>
      <c r="F188" s="56"/>
      <c r="G188" s="209"/>
      <c r="Q188" s="86"/>
    </row>
    <row r="189" spans="1:17">
      <c r="H189" s="61"/>
    </row>
    <row r="190" spans="1:17">
      <c r="H190" s="61"/>
    </row>
  </sheetData>
  <sheetProtection selectLockedCells="1"/>
  <mergeCells count="2">
    <mergeCell ref="E22:G22"/>
    <mergeCell ref="E23:G23"/>
  </mergeCells>
  <conditionalFormatting sqref="G14:G17 C41:G61 C64:G64 C66:G85 C90:G93 C95:G109 C113:G117 C119:G129 C131:G134 C137:G153 C155:G156 C161:G169 C171:G181 C186:G188">
    <cfRule type="cellIs" dxfId="22" priority="5" stopIfTrue="1" operator="greaterThan">
      <formula>0</formula>
    </cfRule>
  </conditionalFormatting>
  <pageMargins left="1.1811023622047245" right="0.15748031496062992" top="0.59055118110236227" bottom="0.59055118110236227" header="0.39370078740157483" footer="0.39370078740157483"/>
  <pageSetup paperSize="9" orientation="portrait" useFirstPageNumber="1" r:id="rId1"/>
  <headerFooter alignWithMargins="0">
    <oddHeader>&amp;R&amp;"Arial,Navadno"&amp;9KANAL VS4</oddHeader>
    <oddFooter>&amp;C&amp;"Arial,Navadno"&amp;10&amp;P</oddFooter>
  </headerFooter>
  <rowBreaks count="5" manualBreakCount="5">
    <brk id="33" max="6" man="1"/>
    <brk id="93" max="6" man="1"/>
    <brk id="129" max="6" man="1"/>
    <brk id="153" max="6" man="1"/>
    <brk id="169"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196"/>
  <sheetViews>
    <sheetView view="pageBreakPreview" topLeftCell="A19" zoomScale="60" zoomScaleNormal="100" workbookViewId="0">
      <selection activeCell="I57" sqref="I57"/>
    </sheetView>
  </sheetViews>
  <sheetFormatPr defaultColWidth="8.6640625" defaultRowHeight="15.75"/>
  <cols>
    <col min="1" max="1" width="6.5546875" style="43" customWidth="1"/>
    <col min="2" max="2" width="27.44140625" style="53" customWidth="1"/>
    <col min="3" max="3" width="7.44140625" style="41" customWidth="1"/>
    <col min="4" max="4" width="1.109375" style="41" customWidth="1"/>
    <col min="5" max="5" width="11.109375" style="107" customWidth="1"/>
    <col min="6" max="6" width="3.44140625" style="41" customWidth="1"/>
    <col min="7" max="7" width="14" style="97" customWidth="1"/>
    <col min="8" max="8" width="3.6640625" style="38" customWidth="1"/>
    <col min="9" max="9" width="14.88671875" style="36" customWidth="1"/>
    <col min="10" max="10" width="8.6640625" style="37" customWidth="1"/>
    <col min="11" max="11" width="25.5546875" style="38" customWidth="1"/>
    <col min="12" max="12" width="15.5546875" style="38" customWidth="1"/>
    <col min="13" max="15" width="8.6640625" style="39" customWidth="1"/>
    <col min="16" max="16" width="8.6640625" style="38" customWidth="1"/>
    <col min="17" max="17" width="11.109375" style="82" customWidth="1"/>
    <col min="18" max="16384" width="8.6640625" style="38"/>
  </cols>
  <sheetData>
    <row r="1" spans="1:17" s="79" customFormat="1" ht="15.95" customHeight="1">
      <c r="A1" s="34"/>
      <c r="B1" s="35" t="s">
        <v>11</v>
      </c>
      <c r="C1" s="1" t="s">
        <v>123</v>
      </c>
      <c r="D1" s="33"/>
      <c r="E1" s="33"/>
      <c r="F1" s="2"/>
      <c r="G1" s="96"/>
      <c r="H1" s="78"/>
      <c r="Q1" s="90"/>
    </row>
    <row r="2" spans="1:17" s="79" customFormat="1" ht="15.95" customHeight="1">
      <c r="A2" s="34"/>
      <c r="B2" s="35"/>
      <c r="C2" s="1" t="s">
        <v>124</v>
      </c>
      <c r="D2" s="33"/>
      <c r="E2" s="33"/>
      <c r="F2" s="2"/>
      <c r="G2" s="96"/>
      <c r="H2" s="78"/>
      <c r="Q2" s="90"/>
    </row>
    <row r="3" spans="1:17" s="79" customFormat="1" ht="15.95" customHeight="1">
      <c r="A3" s="34"/>
      <c r="B3" s="35" t="s">
        <v>8</v>
      </c>
      <c r="C3" s="40" t="s">
        <v>187</v>
      </c>
      <c r="D3" s="33"/>
      <c r="E3" s="106"/>
      <c r="F3" s="2"/>
      <c r="G3" s="96"/>
      <c r="H3" s="78"/>
      <c r="Q3" s="90"/>
    </row>
    <row r="4" spans="1:17" s="79" customFormat="1">
      <c r="A4" s="34"/>
      <c r="B4" s="35" t="s">
        <v>12</v>
      </c>
      <c r="C4" s="40" t="s">
        <v>175</v>
      </c>
      <c r="D4" s="41"/>
      <c r="E4" s="107"/>
      <c r="F4" s="41"/>
      <c r="G4" s="97"/>
      <c r="Q4" s="82"/>
    </row>
    <row r="5" spans="1:17" s="79" customFormat="1">
      <c r="A5" s="34"/>
      <c r="B5" s="35" t="s">
        <v>13</v>
      </c>
      <c r="C5" s="1" t="s">
        <v>172</v>
      </c>
      <c r="D5" s="33"/>
      <c r="E5" s="106"/>
      <c r="F5" s="2"/>
      <c r="G5" s="97"/>
      <c r="Q5" s="90"/>
    </row>
    <row r="6" spans="1:17">
      <c r="A6" s="34"/>
      <c r="B6" s="35"/>
      <c r="C6" s="42" t="s">
        <v>173</v>
      </c>
    </row>
    <row r="7" spans="1:17">
      <c r="A7" s="34"/>
      <c r="B7" s="35"/>
      <c r="C7" s="42"/>
    </row>
    <row r="9" spans="1:17" ht="18">
      <c r="A9" s="43" t="s">
        <v>14</v>
      </c>
      <c r="B9" s="44" t="s">
        <v>52</v>
      </c>
      <c r="C9" s="45"/>
      <c r="D9" s="45"/>
      <c r="E9" s="108"/>
      <c r="F9" s="45"/>
      <c r="G9" s="98"/>
      <c r="Q9" s="83"/>
    </row>
    <row r="10" spans="1:17">
      <c r="B10" s="45"/>
      <c r="C10" s="45"/>
      <c r="D10" s="45"/>
      <c r="E10" s="108"/>
      <c r="F10" s="45"/>
      <c r="G10" s="98"/>
      <c r="Q10" s="83"/>
    </row>
    <row r="12" spans="1:17" s="7" customFormat="1">
      <c r="A12" s="8" t="s">
        <v>15</v>
      </c>
      <c r="B12" s="9" t="s">
        <v>16</v>
      </c>
      <c r="C12" s="46"/>
      <c r="E12" s="109"/>
      <c r="G12" s="99"/>
      <c r="I12" s="26"/>
      <c r="J12" s="22"/>
      <c r="M12" s="30"/>
      <c r="N12" s="30"/>
      <c r="O12" s="30"/>
      <c r="Q12" s="91"/>
    </row>
    <row r="13" spans="1:17" s="7" customFormat="1">
      <c r="A13" s="8"/>
      <c r="B13" s="9"/>
      <c r="C13" s="46"/>
      <c r="E13" s="109"/>
      <c r="G13" s="99"/>
      <c r="I13" s="26"/>
      <c r="J13" s="22"/>
      <c r="M13" s="30"/>
      <c r="N13" s="30"/>
      <c r="O13" s="30"/>
      <c r="Q13" s="91"/>
    </row>
    <row r="14" spans="1:17" s="7" customFormat="1">
      <c r="A14" s="47" t="s">
        <v>27</v>
      </c>
      <c r="B14" s="48" t="s">
        <v>26</v>
      </c>
      <c r="C14" s="49"/>
      <c r="D14" s="49"/>
      <c r="E14" s="110"/>
      <c r="F14" s="49"/>
      <c r="G14" s="209"/>
      <c r="H14" s="80"/>
      <c r="I14" s="26"/>
      <c r="J14" s="22"/>
      <c r="K14" s="119"/>
      <c r="M14" s="30"/>
      <c r="N14" s="30"/>
      <c r="O14" s="30"/>
      <c r="Q14" s="84"/>
    </row>
    <row r="15" spans="1:17">
      <c r="A15" s="47" t="s">
        <v>32</v>
      </c>
      <c r="B15" s="48" t="s">
        <v>17</v>
      </c>
      <c r="C15" s="49"/>
      <c r="D15" s="49"/>
      <c r="E15" s="110"/>
      <c r="F15" s="49"/>
      <c r="G15" s="209"/>
      <c r="H15" s="80"/>
      <c r="K15" s="116"/>
      <c r="Q15" s="84"/>
    </row>
    <row r="16" spans="1:17">
      <c r="A16" s="47" t="s">
        <v>42</v>
      </c>
      <c r="B16" s="48" t="s">
        <v>18</v>
      </c>
      <c r="C16" s="49"/>
      <c r="D16" s="49"/>
      <c r="E16" s="110"/>
      <c r="F16" s="49"/>
      <c r="G16" s="209"/>
      <c r="H16" s="80"/>
      <c r="K16" s="116"/>
      <c r="Q16" s="84"/>
    </row>
    <row r="17" spans="1:17">
      <c r="A17" s="47"/>
      <c r="B17" s="48"/>
      <c r="C17" s="49"/>
      <c r="D17" s="49"/>
      <c r="E17" s="110"/>
      <c r="F17" s="49"/>
      <c r="G17" s="100"/>
      <c r="K17" s="116"/>
      <c r="Q17" s="84"/>
    </row>
    <row r="18" spans="1:17" ht="16.5" thickBot="1">
      <c r="A18" s="47"/>
      <c r="B18" s="50" t="s">
        <v>53</v>
      </c>
      <c r="C18" s="51"/>
      <c r="D18" s="51"/>
      <c r="E18" s="111"/>
      <c r="F18" s="51"/>
      <c r="G18" s="210"/>
      <c r="H18" s="80"/>
      <c r="K18" s="117"/>
      <c r="Q18" s="85"/>
    </row>
    <row r="22" spans="1:17" ht="15.95" customHeight="1">
      <c r="B22" s="53" t="s">
        <v>81</v>
      </c>
      <c r="E22" s="458" t="s">
        <v>143</v>
      </c>
      <c r="F22" s="458"/>
      <c r="G22" s="458"/>
    </row>
    <row r="23" spans="1:17" ht="84.75" customHeight="1">
      <c r="B23" s="53" t="s">
        <v>84</v>
      </c>
      <c r="E23" s="458" t="s">
        <v>241</v>
      </c>
      <c r="F23" s="458"/>
      <c r="G23" s="458"/>
    </row>
    <row r="25" spans="1:17">
      <c r="B25" s="53" t="s">
        <v>82</v>
      </c>
    </row>
    <row r="26" spans="1:17" ht="63.75">
      <c r="B26" s="53" t="s">
        <v>83</v>
      </c>
    </row>
    <row r="28" spans="1:17">
      <c r="K28" s="53"/>
    </row>
    <row r="29" spans="1:17">
      <c r="K29" s="53"/>
    </row>
    <row r="33" spans="1:17">
      <c r="B33" s="53" t="s">
        <v>166</v>
      </c>
    </row>
    <row r="34" spans="1:17" s="7" customFormat="1">
      <c r="A34" s="43"/>
      <c r="B34" s="53"/>
      <c r="C34" s="41"/>
      <c r="D34" s="41"/>
      <c r="E34" s="107"/>
      <c r="F34" s="41"/>
      <c r="G34" s="97"/>
      <c r="H34" s="38"/>
      <c r="I34" s="26"/>
      <c r="J34" s="22"/>
      <c r="M34" s="30"/>
      <c r="N34" s="30"/>
      <c r="O34" s="30"/>
      <c r="Q34" s="82"/>
    </row>
    <row r="35" spans="1:17">
      <c r="A35" s="11" t="s">
        <v>19</v>
      </c>
      <c r="B35" s="9" t="s">
        <v>16</v>
      </c>
      <c r="C35" s="46"/>
      <c r="D35" s="7"/>
      <c r="E35" s="109"/>
      <c r="F35" s="7"/>
      <c r="G35" s="99"/>
      <c r="H35" s="7"/>
      <c r="Q35" s="91"/>
    </row>
    <row r="36" spans="1:17" s="7" customFormat="1">
      <c r="A36" s="43"/>
      <c r="B36" s="55"/>
      <c r="C36" s="56"/>
      <c r="D36" s="56"/>
      <c r="E36" s="112"/>
      <c r="F36" s="56"/>
      <c r="G36" s="101"/>
      <c r="H36" s="38"/>
      <c r="I36" s="26"/>
      <c r="J36" s="22"/>
      <c r="M36" s="30"/>
      <c r="N36" s="30"/>
      <c r="O36" s="30"/>
      <c r="Q36" s="86"/>
    </row>
    <row r="37" spans="1:17" s="7" customFormat="1">
      <c r="A37" s="11" t="s">
        <v>27</v>
      </c>
      <c r="B37" s="9" t="s">
        <v>26</v>
      </c>
      <c r="C37" s="46"/>
      <c r="E37" s="109"/>
      <c r="G37" s="99"/>
      <c r="I37" s="26"/>
      <c r="J37" s="22"/>
      <c r="M37" s="30"/>
      <c r="N37" s="30"/>
      <c r="O37" s="30"/>
      <c r="Q37" s="91"/>
    </row>
    <row r="38" spans="1:17" s="7" customFormat="1">
      <c r="A38" s="8"/>
      <c r="B38" s="9"/>
      <c r="C38" s="207" t="s">
        <v>170</v>
      </c>
      <c r="D38" s="203"/>
      <c r="E38" s="208" t="s">
        <v>171</v>
      </c>
      <c r="F38" s="203"/>
      <c r="G38" s="208" t="s">
        <v>164</v>
      </c>
      <c r="I38" s="26"/>
      <c r="J38" s="22"/>
      <c r="M38" s="30"/>
      <c r="N38" s="30"/>
      <c r="O38" s="30"/>
      <c r="Q38" s="91"/>
    </row>
    <row r="39" spans="1:17" s="17" customFormat="1" ht="39">
      <c r="A39" s="12" t="s">
        <v>28</v>
      </c>
      <c r="B39" s="13" t="s">
        <v>139</v>
      </c>
      <c r="C39" s="46"/>
      <c r="D39" s="7"/>
      <c r="E39" s="109"/>
      <c r="F39" s="7"/>
      <c r="G39" s="99"/>
      <c r="H39" s="7"/>
      <c r="I39" s="27"/>
      <c r="J39" s="23"/>
      <c r="M39" s="31"/>
      <c r="N39" s="31"/>
      <c r="O39" s="31"/>
      <c r="Q39" s="91"/>
    </row>
    <row r="40" spans="1:17" s="7" customFormat="1">
      <c r="A40" s="18"/>
      <c r="B40" s="13"/>
      <c r="C40" s="57"/>
      <c r="D40" s="17"/>
      <c r="E40" s="113"/>
      <c r="F40" s="17"/>
      <c r="G40" s="102"/>
      <c r="H40" s="17"/>
      <c r="I40" s="26"/>
      <c r="J40" s="22"/>
      <c r="M40" s="30"/>
      <c r="N40" s="30"/>
      <c r="O40" s="30"/>
      <c r="Q40" s="92"/>
    </row>
    <row r="41" spans="1:17" s="7" customFormat="1">
      <c r="A41" s="8"/>
      <c r="B41" s="52" t="s">
        <v>22</v>
      </c>
      <c r="C41" s="214">
        <v>22</v>
      </c>
      <c r="D41" s="41"/>
      <c r="E41" s="230"/>
      <c r="F41" s="81"/>
      <c r="G41" s="213"/>
      <c r="H41" s="81"/>
      <c r="I41" s="26"/>
      <c r="J41" s="22"/>
      <c r="M41" s="30"/>
      <c r="N41" s="30"/>
      <c r="O41" s="30"/>
      <c r="Q41" s="82"/>
    </row>
    <row r="42" spans="1:17" s="7" customFormat="1">
      <c r="A42" s="8"/>
      <c r="B42" s="52"/>
      <c r="C42" s="41"/>
      <c r="D42" s="41"/>
      <c r="E42" s="231"/>
      <c r="F42" s="41"/>
      <c r="G42" s="97"/>
      <c r="H42" s="41"/>
      <c r="I42" s="26"/>
      <c r="J42" s="22"/>
      <c r="M42" s="30"/>
      <c r="N42" s="30"/>
      <c r="O42" s="30"/>
      <c r="Q42" s="82"/>
    </row>
    <row r="43" spans="1:17" s="19" customFormat="1" ht="57.75" customHeight="1">
      <c r="A43" s="12" t="s">
        <v>56</v>
      </c>
      <c r="B43" s="52" t="s">
        <v>68</v>
      </c>
      <c r="C43" s="41"/>
      <c r="D43" s="41"/>
      <c r="E43" s="231"/>
      <c r="F43" s="41"/>
      <c r="G43" s="97"/>
      <c r="H43" s="7"/>
      <c r="I43" s="28"/>
      <c r="J43" s="24"/>
      <c r="M43" s="32"/>
      <c r="N43" s="32"/>
      <c r="O43" s="32"/>
      <c r="Q43" s="82"/>
    </row>
    <row r="44" spans="1:17" s="7" customFormat="1">
      <c r="A44" s="20"/>
      <c r="B44" s="52"/>
      <c r="C44" s="59"/>
      <c r="D44" s="59"/>
      <c r="E44" s="231"/>
      <c r="F44" s="59"/>
      <c r="G44" s="104"/>
      <c r="H44" s="19"/>
      <c r="I44" s="26"/>
      <c r="J44" s="22"/>
      <c r="M44" s="30"/>
      <c r="N44" s="30"/>
      <c r="O44" s="30"/>
      <c r="Q44" s="87"/>
    </row>
    <row r="45" spans="1:17" s="7" customFormat="1">
      <c r="A45" s="8"/>
      <c r="B45" s="52" t="s">
        <v>23</v>
      </c>
      <c r="C45" s="214">
        <f>INT(C41/20)+1</f>
        <v>2</v>
      </c>
      <c r="D45" s="41"/>
      <c r="E45" s="232"/>
      <c r="F45" s="81"/>
      <c r="G45" s="213"/>
      <c r="H45" s="81"/>
      <c r="I45" s="26"/>
      <c r="J45" s="22"/>
      <c r="M45" s="30"/>
      <c r="N45" s="30"/>
      <c r="O45" s="30"/>
      <c r="Q45" s="82"/>
    </row>
    <row r="46" spans="1:17" s="7" customFormat="1">
      <c r="A46" s="8"/>
      <c r="B46" s="52"/>
      <c r="C46" s="41"/>
      <c r="D46" s="41"/>
      <c r="E46" s="231"/>
      <c r="F46" s="41"/>
      <c r="G46" s="97"/>
      <c r="H46" s="41"/>
      <c r="I46" s="26"/>
      <c r="J46" s="22"/>
      <c r="M46" s="30"/>
      <c r="N46" s="30"/>
      <c r="O46" s="30"/>
      <c r="Q46" s="82"/>
    </row>
    <row r="47" spans="1:17" s="7" customFormat="1" ht="38.25">
      <c r="A47" s="12" t="s">
        <v>5</v>
      </c>
      <c r="B47" s="52" t="s">
        <v>6</v>
      </c>
      <c r="C47" s="41"/>
      <c r="D47" s="41"/>
      <c r="E47" s="231"/>
      <c r="F47" s="41"/>
      <c r="G47" s="97"/>
      <c r="I47" s="26"/>
      <c r="J47" s="22"/>
      <c r="M47" s="30"/>
      <c r="N47" s="30"/>
      <c r="O47" s="30"/>
      <c r="Q47" s="82"/>
    </row>
    <row r="48" spans="1:17" s="7" customFormat="1">
      <c r="A48" s="20"/>
      <c r="B48" s="52"/>
      <c r="C48" s="59"/>
      <c r="D48" s="59"/>
      <c r="E48" s="233"/>
      <c r="F48" s="59"/>
      <c r="G48" s="104"/>
      <c r="H48" s="19"/>
      <c r="I48" s="26"/>
      <c r="J48" s="22"/>
      <c r="M48" s="30"/>
      <c r="N48" s="30"/>
      <c r="O48" s="30"/>
      <c r="Q48" s="87"/>
    </row>
    <row r="49" spans="1:17" s="7" customFormat="1">
      <c r="A49" s="8"/>
      <c r="B49" s="52" t="s">
        <v>29</v>
      </c>
      <c r="C49" s="214">
        <v>1</v>
      </c>
      <c r="D49" s="41"/>
      <c r="E49" s="232"/>
      <c r="F49" s="81"/>
      <c r="G49" s="213"/>
      <c r="H49" s="81"/>
      <c r="I49" s="26"/>
      <c r="J49" s="22"/>
      <c r="M49" s="30"/>
      <c r="N49" s="30"/>
      <c r="O49" s="30"/>
      <c r="Q49" s="82"/>
    </row>
    <row r="50" spans="1:17" s="7" customFormat="1">
      <c r="A50" s="8"/>
      <c r="B50" s="52"/>
      <c r="C50" s="41"/>
      <c r="D50" s="41"/>
      <c r="E50" s="231"/>
      <c r="F50" s="41"/>
      <c r="G50" s="97"/>
      <c r="H50" s="41"/>
      <c r="I50" s="26"/>
      <c r="J50" s="22"/>
      <c r="M50" s="30"/>
      <c r="N50" s="30"/>
      <c r="O50" s="30"/>
      <c r="Q50" s="82"/>
    </row>
    <row r="51" spans="1:17" s="19" customFormat="1" ht="48" customHeight="1">
      <c r="A51" s="12" t="s">
        <v>75</v>
      </c>
      <c r="B51" s="52" t="s">
        <v>136</v>
      </c>
      <c r="C51" s="41"/>
      <c r="D51" s="41"/>
      <c r="E51" s="231"/>
      <c r="F51" s="41"/>
      <c r="G51" s="97"/>
      <c r="H51" s="7"/>
      <c r="I51" s="28"/>
      <c r="J51" s="24"/>
      <c r="M51" s="32"/>
      <c r="N51" s="32"/>
      <c r="O51" s="32"/>
      <c r="Q51" s="82"/>
    </row>
    <row r="52" spans="1:17" s="7" customFormat="1">
      <c r="A52" s="20"/>
      <c r="B52" s="52"/>
      <c r="C52" s="59"/>
      <c r="D52" s="59"/>
      <c r="E52" s="233"/>
      <c r="F52" s="59"/>
      <c r="G52" s="104"/>
      <c r="H52" s="19"/>
      <c r="I52" s="26"/>
      <c r="J52" s="22"/>
      <c r="M52" s="30"/>
      <c r="N52" s="30"/>
      <c r="O52" s="30"/>
      <c r="Q52" s="87"/>
    </row>
    <row r="53" spans="1:17" s="7" customFormat="1">
      <c r="A53" s="8"/>
      <c r="B53" s="52" t="s">
        <v>23</v>
      </c>
      <c r="C53" s="214">
        <v>1</v>
      </c>
      <c r="D53" s="41"/>
      <c r="E53" s="232"/>
      <c r="F53" s="81"/>
      <c r="G53" s="213"/>
      <c r="H53" s="81"/>
      <c r="I53" s="26"/>
      <c r="J53" s="22"/>
      <c r="M53" s="30"/>
      <c r="N53" s="30"/>
      <c r="O53" s="30"/>
      <c r="Q53" s="82"/>
    </row>
    <row r="54" spans="1:17" s="7" customFormat="1">
      <c r="A54" s="8"/>
      <c r="B54" s="52"/>
      <c r="C54" s="41"/>
      <c r="D54" s="41"/>
      <c r="E54" s="231"/>
      <c r="F54" s="81"/>
      <c r="G54" s="97"/>
      <c r="H54" s="81"/>
      <c r="I54" s="26"/>
      <c r="J54" s="22"/>
      <c r="M54" s="30"/>
      <c r="N54" s="30"/>
      <c r="O54" s="30"/>
      <c r="Q54" s="82"/>
    </row>
    <row r="55" spans="1:17" s="19" customFormat="1" ht="34.5" customHeight="1">
      <c r="A55" s="12" t="s">
        <v>137</v>
      </c>
      <c r="B55" s="52" t="s">
        <v>138</v>
      </c>
      <c r="C55" s="41"/>
      <c r="D55" s="41"/>
      <c r="E55" s="231"/>
      <c r="F55" s="41"/>
      <c r="G55" s="97"/>
      <c r="H55" s="7"/>
      <c r="I55" s="28"/>
      <c r="J55" s="24"/>
      <c r="M55" s="32"/>
      <c r="N55" s="32"/>
      <c r="O55" s="32"/>
      <c r="Q55" s="82"/>
    </row>
    <row r="56" spans="1:17" s="7" customFormat="1">
      <c r="A56" s="20"/>
      <c r="B56" s="52"/>
      <c r="C56" s="59"/>
      <c r="D56" s="59"/>
      <c r="E56" s="233"/>
      <c r="F56" s="59"/>
      <c r="G56" s="104"/>
      <c r="H56" s="19"/>
      <c r="I56" s="26"/>
      <c r="J56" s="22"/>
      <c r="M56" s="30"/>
      <c r="N56" s="30"/>
      <c r="O56" s="30"/>
      <c r="Q56" s="87"/>
    </row>
    <row r="57" spans="1:17" s="7" customFormat="1">
      <c r="A57" s="8"/>
      <c r="B57" s="52" t="s">
        <v>71</v>
      </c>
      <c r="C57" s="226">
        <v>22</v>
      </c>
      <c r="D57" s="41"/>
      <c r="E57" s="232"/>
      <c r="F57" s="81"/>
      <c r="G57" s="213"/>
      <c r="H57" s="81"/>
      <c r="I57" s="26"/>
      <c r="J57" s="22"/>
      <c r="M57" s="30"/>
      <c r="N57" s="30"/>
      <c r="O57" s="30"/>
      <c r="Q57" s="82"/>
    </row>
    <row r="58" spans="1:17" s="7" customFormat="1">
      <c r="A58" s="8"/>
      <c r="B58" s="52"/>
      <c r="C58" s="227"/>
      <c r="D58" s="229"/>
      <c r="E58" s="234"/>
      <c r="F58" s="229"/>
      <c r="G58" s="228"/>
      <c r="H58" s="41"/>
      <c r="I58" s="26"/>
      <c r="J58" s="22"/>
      <c r="M58" s="30"/>
      <c r="N58" s="30"/>
      <c r="O58" s="30"/>
      <c r="Q58" s="82"/>
    </row>
    <row r="59" spans="1:17" s="7" customFormat="1" ht="86.25" customHeight="1">
      <c r="A59" s="12" t="s">
        <v>54</v>
      </c>
      <c r="B59" s="52" t="s">
        <v>188</v>
      </c>
      <c r="C59" s="41"/>
      <c r="D59" s="41"/>
      <c r="E59" s="231"/>
      <c r="F59" s="41"/>
      <c r="G59" s="97"/>
      <c r="I59" s="26"/>
      <c r="J59" s="22"/>
      <c r="M59" s="30"/>
      <c r="N59" s="30"/>
      <c r="O59" s="30"/>
      <c r="Q59" s="82"/>
    </row>
    <row r="60" spans="1:17" s="7" customFormat="1" ht="44.25" customHeight="1">
      <c r="A60" s="8"/>
      <c r="B60" s="52" t="s">
        <v>116</v>
      </c>
      <c r="C60" s="214">
        <v>1</v>
      </c>
      <c r="D60" s="41"/>
      <c r="E60" s="232"/>
      <c r="F60" s="81"/>
      <c r="G60" s="213"/>
      <c r="H60" s="81"/>
      <c r="I60" s="26"/>
      <c r="J60" s="22"/>
      <c r="M60" s="30"/>
      <c r="N60" s="30"/>
      <c r="O60" s="30"/>
      <c r="Q60" s="82"/>
    </row>
    <row r="61" spans="1:17" s="7" customFormat="1" ht="15.95" customHeight="1">
      <c r="A61" s="8"/>
      <c r="B61" s="52"/>
      <c r="C61" s="41"/>
      <c r="D61" s="41"/>
      <c r="E61" s="231"/>
      <c r="F61" s="41"/>
      <c r="G61" s="97"/>
      <c r="I61" s="26"/>
      <c r="J61" s="22"/>
      <c r="M61" s="30"/>
      <c r="N61" s="30"/>
      <c r="O61" s="30"/>
      <c r="Q61" s="82"/>
    </row>
    <row r="62" spans="1:17" s="7" customFormat="1" ht="15.95" customHeight="1">
      <c r="A62" s="12" t="s">
        <v>61</v>
      </c>
      <c r="B62" s="52" t="s">
        <v>62</v>
      </c>
      <c r="C62" s="41"/>
      <c r="D62" s="41"/>
      <c r="E62" s="231"/>
      <c r="F62" s="41"/>
      <c r="G62" s="97"/>
      <c r="I62" s="26"/>
      <c r="J62" s="22"/>
      <c r="M62" s="30"/>
      <c r="N62" s="30"/>
      <c r="O62" s="30"/>
      <c r="Q62" s="82"/>
    </row>
    <row r="63" spans="1:17" s="7" customFormat="1" ht="15.95" customHeight="1">
      <c r="A63" s="20"/>
      <c r="B63" s="52"/>
      <c r="C63" s="59"/>
      <c r="D63" s="59"/>
      <c r="E63" s="233"/>
      <c r="F63" s="59"/>
      <c r="G63" s="104"/>
      <c r="H63" s="19"/>
      <c r="I63" s="26"/>
      <c r="J63" s="22"/>
      <c r="M63" s="30"/>
      <c r="N63" s="30"/>
      <c r="O63" s="30"/>
      <c r="Q63" s="87"/>
    </row>
    <row r="64" spans="1:17" s="7" customFormat="1" ht="15.95" customHeight="1">
      <c r="A64" s="8"/>
      <c r="B64" s="52" t="s">
        <v>41</v>
      </c>
      <c r="C64" s="214">
        <v>1</v>
      </c>
      <c r="D64" s="41"/>
      <c r="E64" s="232"/>
      <c r="F64" s="81"/>
      <c r="G64" s="213"/>
      <c r="H64" s="81"/>
      <c r="I64" s="26"/>
      <c r="J64" s="22"/>
      <c r="M64" s="30"/>
      <c r="N64" s="30"/>
      <c r="O64" s="30"/>
      <c r="Q64" s="82"/>
    </row>
    <row r="65" spans="1:17" s="7" customFormat="1" ht="15.95" customHeight="1">
      <c r="A65" s="8"/>
      <c r="B65" s="52"/>
      <c r="C65" s="207" t="s">
        <v>170</v>
      </c>
      <c r="D65" s="203"/>
      <c r="E65" s="235" t="s">
        <v>171</v>
      </c>
      <c r="F65" s="203"/>
      <c r="G65" s="208" t="s">
        <v>164</v>
      </c>
      <c r="H65" s="41"/>
      <c r="I65" s="26"/>
      <c r="J65" s="22"/>
      <c r="M65" s="30"/>
      <c r="N65" s="30"/>
      <c r="O65" s="30"/>
      <c r="Q65" s="82"/>
    </row>
    <row r="66" spans="1:17" s="7" customFormat="1" ht="89.25" customHeight="1">
      <c r="A66" s="12" t="s">
        <v>73</v>
      </c>
      <c r="B66" s="52" t="s">
        <v>135</v>
      </c>
      <c r="C66" s="41"/>
      <c r="D66" s="41"/>
      <c r="E66" s="231"/>
      <c r="F66" s="41"/>
      <c r="G66" s="97"/>
      <c r="I66" s="26"/>
      <c r="J66" s="22"/>
      <c r="M66" s="30"/>
      <c r="N66" s="30"/>
      <c r="O66" s="30"/>
      <c r="Q66" s="82"/>
    </row>
    <row r="67" spans="1:17" s="7" customFormat="1" ht="15.95" customHeight="1">
      <c r="A67" s="20"/>
      <c r="B67" s="52"/>
      <c r="C67" s="59"/>
      <c r="D67" s="59"/>
      <c r="E67" s="233"/>
      <c r="F67" s="59"/>
      <c r="G67" s="104"/>
      <c r="H67" s="19"/>
      <c r="I67" s="26"/>
      <c r="J67" s="22"/>
      <c r="M67" s="30"/>
      <c r="N67" s="30"/>
      <c r="O67" s="30"/>
      <c r="Q67" s="87"/>
    </row>
    <row r="68" spans="1:17" s="7" customFormat="1" ht="15.95" customHeight="1">
      <c r="A68" s="8"/>
      <c r="B68" s="52" t="s">
        <v>23</v>
      </c>
      <c r="C68" s="214">
        <v>1</v>
      </c>
      <c r="D68" s="41"/>
      <c r="E68" s="232"/>
      <c r="F68" s="81"/>
      <c r="G68" s="213"/>
      <c r="H68" s="81"/>
      <c r="I68" s="26"/>
      <c r="J68" s="22"/>
      <c r="M68" s="30"/>
      <c r="N68" s="30"/>
      <c r="O68" s="30"/>
      <c r="Q68" s="82"/>
    </row>
    <row r="69" spans="1:17" s="7" customFormat="1" ht="15.95" customHeight="1">
      <c r="A69" s="8"/>
      <c r="B69" s="52"/>
      <c r="C69" s="41"/>
      <c r="D69" s="41"/>
      <c r="E69" s="231"/>
      <c r="F69" s="41"/>
      <c r="G69" s="97"/>
      <c r="H69" s="41"/>
      <c r="I69" s="26"/>
      <c r="J69" s="22"/>
      <c r="M69" s="30"/>
      <c r="N69" s="30"/>
      <c r="O69" s="30"/>
      <c r="Q69" s="82"/>
    </row>
    <row r="70" spans="1:17" s="7" customFormat="1" ht="33.950000000000003" customHeight="1">
      <c r="A70" s="12" t="s">
        <v>74</v>
      </c>
      <c r="B70" s="52" t="s">
        <v>10</v>
      </c>
      <c r="C70" s="41"/>
      <c r="D70" s="41"/>
      <c r="E70" s="231"/>
      <c r="F70" s="41"/>
      <c r="G70" s="97"/>
      <c r="I70" s="26"/>
      <c r="J70" s="22"/>
      <c r="M70" s="30"/>
      <c r="N70" s="30"/>
      <c r="O70" s="30"/>
      <c r="Q70" s="82"/>
    </row>
    <row r="71" spans="1:17" s="7" customFormat="1" ht="15.95" customHeight="1">
      <c r="A71" s="20"/>
      <c r="B71" s="52"/>
      <c r="C71" s="59"/>
      <c r="D71" s="59"/>
      <c r="E71" s="233"/>
      <c r="F71" s="59"/>
      <c r="G71" s="104"/>
      <c r="H71" s="19"/>
      <c r="I71" s="26"/>
      <c r="J71" s="22"/>
      <c r="M71" s="30"/>
      <c r="N71" s="30"/>
      <c r="O71" s="30"/>
      <c r="Q71" s="87"/>
    </row>
    <row r="72" spans="1:17" s="7" customFormat="1" ht="15.95" customHeight="1">
      <c r="A72" s="8"/>
      <c r="B72" s="52" t="s">
        <v>23</v>
      </c>
      <c r="C72" s="214">
        <v>1</v>
      </c>
      <c r="D72" s="41"/>
      <c r="E72" s="232"/>
      <c r="F72" s="81"/>
      <c r="G72" s="213"/>
      <c r="H72" s="81"/>
      <c r="I72" s="26"/>
      <c r="J72" s="22"/>
      <c r="M72" s="30"/>
      <c r="N72" s="30"/>
      <c r="O72" s="30"/>
      <c r="Q72" s="82"/>
    </row>
    <row r="73" spans="1:17" s="7" customFormat="1" ht="15.95" customHeight="1">
      <c r="A73" s="8"/>
      <c r="B73" s="52"/>
      <c r="C73" s="41"/>
      <c r="D73" s="41"/>
      <c r="E73" s="231"/>
      <c r="F73" s="41"/>
      <c r="G73" s="97"/>
      <c r="I73" s="26"/>
      <c r="J73" s="22"/>
      <c r="M73" s="30"/>
      <c r="N73" s="30"/>
      <c r="O73" s="30"/>
      <c r="Q73" s="82"/>
    </row>
    <row r="74" spans="1:17" s="7" customFormat="1" ht="31.5">
      <c r="A74" s="11"/>
      <c r="B74" s="60" t="s">
        <v>43</v>
      </c>
      <c r="C74" s="49"/>
      <c r="D74" s="49"/>
      <c r="E74" s="236"/>
      <c r="F74" s="49"/>
      <c r="G74" s="209"/>
      <c r="H74" s="49"/>
      <c r="I74" s="118"/>
      <c r="J74" s="22"/>
      <c r="M74" s="30"/>
      <c r="N74" s="30"/>
      <c r="O74" s="30"/>
      <c r="Q74" s="84"/>
    </row>
    <row r="75" spans="1:17" s="7" customFormat="1">
      <c r="A75" s="11"/>
      <c r="B75" s="60"/>
      <c r="C75" s="49"/>
      <c r="D75" s="49"/>
      <c r="E75" s="236"/>
      <c r="F75" s="49"/>
      <c r="G75" s="100"/>
      <c r="H75" s="49"/>
      <c r="I75" s="26"/>
      <c r="J75" s="22"/>
      <c r="M75" s="30"/>
      <c r="N75" s="30"/>
      <c r="O75" s="30"/>
      <c r="Q75" s="84"/>
    </row>
    <row r="76" spans="1:17" s="7" customFormat="1">
      <c r="A76" s="11" t="s">
        <v>32</v>
      </c>
      <c r="B76" s="9" t="s">
        <v>17</v>
      </c>
      <c r="C76" s="46"/>
      <c r="E76" s="237"/>
      <c r="G76" s="99"/>
      <c r="I76" s="26"/>
      <c r="J76" s="22"/>
      <c r="M76" s="30"/>
      <c r="N76" s="30"/>
      <c r="O76" s="30"/>
      <c r="Q76" s="91"/>
    </row>
    <row r="77" spans="1:17" s="7" customFormat="1">
      <c r="A77" s="11"/>
      <c r="B77" s="9"/>
      <c r="C77" s="46"/>
      <c r="E77" s="237"/>
      <c r="G77" s="99"/>
      <c r="I77" s="26"/>
      <c r="J77" s="22"/>
      <c r="M77" s="30"/>
      <c r="N77" s="30"/>
      <c r="O77" s="30"/>
      <c r="Q77" s="91"/>
    </row>
    <row r="78" spans="1:17" s="64" customFormat="1" ht="64.5" customHeight="1">
      <c r="A78" s="12" t="s">
        <v>33</v>
      </c>
      <c r="B78" s="52" t="s">
        <v>134</v>
      </c>
      <c r="C78" s="41"/>
      <c r="D78" s="41"/>
      <c r="E78" s="231"/>
      <c r="F78" s="41"/>
      <c r="G78" s="97"/>
      <c r="H78" s="61"/>
      <c r="I78" s="62"/>
      <c r="J78" s="63"/>
      <c r="M78" s="65"/>
      <c r="N78" s="65"/>
      <c r="O78" s="65"/>
      <c r="Q78" s="82"/>
    </row>
    <row r="79" spans="1:17">
      <c r="A79" s="18"/>
      <c r="B79" s="52"/>
      <c r="C79" s="59"/>
      <c r="D79" s="59"/>
      <c r="E79" s="233"/>
      <c r="F79" s="59"/>
      <c r="G79" s="104"/>
      <c r="H79" s="64"/>
      <c r="Q79" s="87"/>
    </row>
    <row r="80" spans="1:17">
      <c r="B80" s="52" t="s">
        <v>20</v>
      </c>
      <c r="C80" s="214">
        <v>0.8</v>
      </c>
      <c r="E80" s="230"/>
      <c r="F80" s="81"/>
      <c r="G80" s="213"/>
      <c r="H80" s="81"/>
    </row>
    <row r="81" spans="1:10">
      <c r="B81" s="52"/>
      <c r="E81" s="231"/>
      <c r="H81" s="61"/>
    </row>
    <row r="82" spans="1:10" ht="69" customHeight="1">
      <c r="A82" s="43" t="s">
        <v>34</v>
      </c>
      <c r="B82" s="52" t="s">
        <v>133</v>
      </c>
      <c r="E82" s="231"/>
      <c r="H82" s="61"/>
      <c r="J82" s="52"/>
    </row>
    <row r="83" spans="1:10">
      <c r="B83" s="52"/>
      <c r="E83" s="231"/>
      <c r="H83" s="61"/>
    </row>
    <row r="84" spans="1:10">
      <c r="B84" s="52" t="s">
        <v>25</v>
      </c>
      <c r="C84" s="214">
        <f>3.384/0.09</f>
        <v>37.6</v>
      </c>
      <c r="E84" s="232"/>
      <c r="F84" s="81"/>
      <c r="G84" s="213"/>
      <c r="H84" s="81"/>
    </row>
    <row r="85" spans="1:10">
      <c r="B85" s="52"/>
      <c r="E85" s="231"/>
      <c r="F85" s="81"/>
      <c r="H85" s="81"/>
    </row>
    <row r="86" spans="1:10" ht="55.7" customHeight="1">
      <c r="A86" s="43" t="s">
        <v>4</v>
      </c>
      <c r="B86" s="52" t="s">
        <v>85</v>
      </c>
      <c r="E86" s="231"/>
      <c r="H86" s="61"/>
    </row>
    <row r="87" spans="1:10">
      <c r="B87" s="52"/>
      <c r="E87" s="231"/>
      <c r="H87" s="61"/>
    </row>
    <row r="88" spans="1:10">
      <c r="B88" s="52" t="s">
        <v>22</v>
      </c>
      <c r="C88" s="214">
        <v>7</v>
      </c>
      <c r="E88" s="232"/>
      <c r="F88" s="81"/>
      <c r="G88" s="213"/>
      <c r="H88" s="81"/>
    </row>
    <row r="89" spans="1:10">
      <c r="B89" s="52"/>
      <c r="E89" s="231"/>
      <c r="H89" s="61"/>
    </row>
    <row r="90" spans="1:10">
      <c r="B90" s="52"/>
      <c r="C90" s="207" t="s">
        <v>170</v>
      </c>
      <c r="D90" s="203"/>
      <c r="E90" s="235" t="s">
        <v>171</v>
      </c>
      <c r="F90" s="203"/>
      <c r="G90" s="208" t="s">
        <v>164</v>
      </c>
      <c r="H90" s="61"/>
    </row>
    <row r="91" spans="1:10" ht="69" customHeight="1">
      <c r="A91" s="43" t="s">
        <v>36</v>
      </c>
      <c r="B91" s="52" t="s">
        <v>88</v>
      </c>
      <c r="E91" s="231"/>
      <c r="H91" s="61"/>
    </row>
    <row r="92" spans="1:10">
      <c r="B92" s="52"/>
      <c r="E92" s="231"/>
      <c r="H92" s="61"/>
    </row>
    <row r="93" spans="1:10" ht="25.5">
      <c r="B93" s="52" t="s">
        <v>141</v>
      </c>
      <c r="E93" s="231"/>
      <c r="H93" s="61"/>
    </row>
    <row r="94" spans="1:10">
      <c r="B94" s="52" t="s">
        <v>20</v>
      </c>
      <c r="C94" s="214">
        <f>48.18*0.8</f>
        <v>38.544000000000004</v>
      </c>
      <c r="E94" s="230"/>
      <c r="F94" s="81"/>
      <c r="G94" s="213"/>
      <c r="H94" s="81"/>
    </row>
    <row r="95" spans="1:10">
      <c r="B95" s="52"/>
      <c r="E95" s="231"/>
      <c r="H95" s="41"/>
      <c r="J95" s="36"/>
    </row>
    <row r="96" spans="1:10">
      <c r="B96" s="52" t="s">
        <v>142</v>
      </c>
      <c r="E96" s="231"/>
      <c r="H96" s="61"/>
    </row>
    <row r="97" spans="1:17">
      <c r="B97" s="52" t="s">
        <v>20</v>
      </c>
      <c r="C97" s="214">
        <f>48.18*0.2</f>
        <v>9.636000000000001</v>
      </c>
      <c r="E97" s="232"/>
      <c r="F97" s="81"/>
      <c r="G97" s="213"/>
      <c r="H97" s="81"/>
    </row>
    <row r="98" spans="1:17" s="68" customFormat="1">
      <c r="A98" s="69"/>
      <c r="B98" s="70"/>
      <c r="C98" s="66"/>
      <c r="D98" s="66"/>
      <c r="E98" s="231"/>
      <c r="F98" s="66"/>
      <c r="G98" s="97"/>
      <c r="H98" s="67"/>
      <c r="Q98" s="88"/>
    </row>
    <row r="99" spans="1:17" s="64" customFormat="1" ht="42" customHeight="1">
      <c r="A99" s="43" t="s">
        <v>45</v>
      </c>
      <c r="B99" s="52" t="s">
        <v>38</v>
      </c>
      <c r="C99" s="41"/>
      <c r="D99" s="41"/>
      <c r="E99" s="231"/>
      <c r="F99" s="41"/>
      <c r="G99" s="97"/>
      <c r="H99" s="61"/>
      <c r="I99" s="62"/>
      <c r="J99" s="63"/>
      <c r="M99" s="65"/>
      <c r="N99" s="65"/>
      <c r="O99" s="65"/>
      <c r="Q99" s="82"/>
    </row>
    <row r="100" spans="1:17">
      <c r="B100" s="52"/>
      <c r="C100" s="59"/>
      <c r="D100" s="59"/>
      <c r="E100" s="231"/>
      <c r="F100" s="59"/>
      <c r="G100" s="104"/>
      <c r="H100" s="64"/>
      <c r="Q100" s="87"/>
    </row>
    <row r="101" spans="1:17">
      <c r="B101" s="52" t="s">
        <v>25</v>
      </c>
      <c r="C101" s="214">
        <f>C41*0.75</f>
        <v>16.5</v>
      </c>
      <c r="E101" s="232"/>
      <c r="G101" s="213"/>
      <c r="H101" s="41"/>
    </row>
    <row r="102" spans="1:17">
      <c r="B102" s="52"/>
      <c r="E102" s="231"/>
      <c r="H102" s="61"/>
    </row>
    <row r="103" spans="1:17" s="64" customFormat="1" ht="147.75" customHeight="1">
      <c r="A103" s="43" t="s">
        <v>46</v>
      </c>
      <c r="B103" s="52" t="s">
        <v>90</v>
      </c>
      <c r="C103" s="41"/>
      <c r="D103" s="41"/>
      <c r="E103" s="231"/>
      <c r="F103" s="41"/>
      <c r="G103" s="97"/>
      <c r="H103" s="61"/>
      <c r="I103" s="62"/>
      <c r="J103" s="63"/>
      <c r="M103" s="65"/>
      <c r="N103" s="65"/>
      <c r="O103" s="65"/>
      <c r="Q103" s="82"/>
    </row>
    <row r="104" spans="1:17">
      <c r="A104" s="71"/>
      <c r="B104" s="52"/>
      <c r="C104" s="59"/>
      <c r="D104" s="59"/>
      <c r="E104" s="231"/>
      <c r="F104" s="59"/>
      <c r="G104" s="104"/>
      <c r="H104" s="64"/>
      <c r="Q104" s="87"/>
    </row>
    <row r="105" spans="1:17">
      <c r="B105" s="52" t="s">
        <v>20</v>
      </c>
      <c r="C105" s="226">
        <v>3.1</v>
      </c>
      <c r="E105" s="232"/>
      <c r="G105" s="213"/>
      <c r="H105" s="41"/>
    </row>
    <row r="106" spans="1:17">
      <c r="B106" s="52"/>
      <c r="C106" s="227"/>
      <c r="D106" s="229"/>
      <c r="E106" s="234"/>
      <c r="F106" s="229"/>
      <c r="G106" s="228"/>
      <c r="H106" s="61"/>
    </row>
    <row r="107" spans="1:17" s="64" customFormat="1" ht="120" customHeight="1">
      <c r="A107" s="43" t="s">
        <v>47</v>
      </c>
      <c r="B107" s="52" t="s">
        <v>132</v>
      </c>
      <c r="C107" s="41"/>
      <c r="D107" s="41"/>
      <c r="E107" s="231"/>
      <c r="F107" s="41"/>
      <c r="G107" s="97"/>
      <c r="H107" s="61"/>
      <c r="I107" s="62"/>
      <c r="J107" s="63"/>
      <c r="M107" s="65"/>
      <c r="N107" s="65"/>
      <c r="O107" s="65"/>
      <c r="Q107" s="82"/>
    </row>
    <row r="108" spans="1:17">
      <c r="A108" s="71"/>
      <c r="B108" s="52"/>
      <c r="C108" s="59"/>
      <c r="D108" s="59"/>
      <c r="E108" s="231"/>
      <c r="F108" s="59"/>
      <c r="G108" s="104"/>
      <c r="H108" s="64"/>
      <c r="Q108" s="87"/>
    </row>
    <row r="109" spans="1:17">
      <c r="B109" s="52" t="s">
        <v>20</v>
      </c>
      <c r="C109" s="214">
        <v>10.6</v>
      </c>
      <c r="E109" s="232"/>
      <c r="G109" s="213"/>
      <c r="H109" s="41"/>
    </row>
    <row r="110" spans="1:17">
      <c r="B110" s="52"/>
      <c r="E110" s="231"/>
      <c r="H110" s="61"/>
    </row>
    <row r="111" spans="1:17" ht="96" customHeight="1">
      <c r="A111" s="43" t="s">
        <v>48</v>
      </c>
      <c r="B111" s="52" t="s">
        <v>91</v>
      </c>
      <c r="E111" s="231"/>
      <c r="H111" s="61"/>
    </row>
    <row r="112" spans="1:17">
      <c r="A112" s="71"/>
      <c r="B112" s="52"/>
      <c r="E112" s="231"/>
      <c r="H112" s="61"/>
    </row>
    <row r="113" spans="1:17">
      <c r="B113" s="52" t="s">
        <v>20</v>
      </c>
      <c r="C113" s="214">
        <f>26.3*0.87</f>
        <v>22.881</v>
      </c>
      <c r="E113" s="232"/>
      <c r="G113" s="213"/>
      <c r="H113" s="41"/>
    </row>
    <row r="114" spans="1:17">
      <c r="B114" s="52"/>
      <c r="C114" s="207" t="s">
        <v>170</v>
      </c>
      <c r="D114" s="203"/>
      <c r="E114" s="235" t="s">
        <v>171</v>
      </c>
      <c r="F114" s="203"/>
      <c r="G114" s="208" t="s">
        <v>164</v>
      </c>
      <c r="H114" s="61"/>
    </row>
    <row r="115" spans="1:17" s="64" customFormat="1" ht="38.25">
      <c r="A115" s="43" t="s">
        <v>49</v>
      </c>
      <c r="B115" s="52" t="s">
        <v>92</v>
      </c>
      <c r="C115" s="41"/>
      <c r="D115" s="41"/>
      <c r="E115" s="231"/>
      <c r="F115" s="41"/>
      <c r="G115" s="97"/>
      <c r="H115" s="61"/>
      <c r="Q115" s="82"/>
    </row>
    <row r="116" spans="1:17">
      <c r="A116" s="71"/>
      <c r="B116" s="52"/>
      <c r="C116" s="59"/>
      <c r="D116" s="59"/>
      <c r="E116" s="231"/>
      <c r="F116" s="59"/>
      <c r="G116" s="104"/>
      <c r="H116" s="64"/>
      <c r="I116" s="38"/>
      <c r="J116" s="38"/>
      <c r="M116" s="38"/>
      <c r="N116" s="38"/>
      <c r="O116" s="38"/>
      <c r="Q116" s="87"/>
    </row>
    <row r="117" spans="1:17">
      <c r="B117" s="52" t="s">
        <v>20</v>
      </c>
      <c r="C117" s="214">
        <f>26.3*0.13</f>
        <v>3.419</v>
      </c>
      <c r="E117" s="232"/>
      <c r="G117" s="213"/>
      <c r="H117" s="41"/>
      <c r="I117" s="38"/>
      <c r="J117" s="38"/>
      <c r="M117" s="38"/>
      <c r="N117" s="38"/>
      <c r="O117" s="38"/>
    </row>
    <row r="118" spans="1:17">
      <c r="B118" s="52"/>
      <c r="E118" s="231"/>
      <c r="H118" s="61"/>
      <c r="I118" s="38"/>
      <c r="J118" s="38"/>
      <c r="M118" s="38"/>
      <c r="N118" s="38"/>
      <c r="O118" s="38"/>
    </row>
    <row r="119" spans="1:17" ht="114.75">
      <c r="A119" s="43" t="s">
        <v>50</v>
      </c>
      <c r="B119" s="52" t="s">
        <v>177</v>
      </c>
      <c r="E119" s="231"/>
      <c r="H119" s="61"/>
      <c r="K119" s="52"/>
    </row>
    <row r="120" spans="1:17">
      <c r="A120" s="71"/>
      <c r="B120" s="52"/>
      <c r="E120" s="231"/>
      <c r="H120" s="61"/>
    </row>
    <row r="121" spans="1:17">
      <c r="B121" s="52" t="s">
        <v>20</v>
      </c>
      <c r="C121" s="214">
        <v>7.15</v>
      </c>
      <c r="E121" s="232"/>
      <c r="G121" s="213"/>
      <c r="H121" s="41"/>
    </row>
    <row r="122" spans="1:17">
      <c r="B122" s="52"/>
      <c r="E122" s="231"/>
      <c r="H122" s="61"/>
    </row>
    <row r="123" spans="1:17" ht="328.5" customHeight="1">
      <c r="A123" s="43" t="s">
        <v>51</v>
      </c>
      <c r="B123" s="16" t="s">
        <v>168</v>
      </c>
      <c r="E123" s="231"/>
      <c r="H123" s="61"/>
    </row>
    <row r="124" spans="1:17">
      <c r="A124" s="71"/>
      <c r="B124" s="72"/>
      <c r="E124" s="231"/>
      <c r="H124" s="61"/>
    </row>
    <row r="125" spans="1:17">
      <c r="B125" s="52" t="s">
        <v>25</v>
      </c>
      <c r="C125" s="214">
        <f>C84</f>
        <v>37.6</v>
      </c>
      <c r="E125" s="230"/>
      <c r="G125" s="213"/>
      <c r="H125" s="41"/>
    </row>
    <row r="126" spans="1:17">
      <c r="B126" s="52"/>
      <c r="E126" s="231"/>
      <c r="H126" s="41"/>
    </row>
    <row r="127" spans="1:17" ht="55.7" customHeight="1">
      <c r="A127" s="43" t="s">
        <v>67</v>
      </c>
      <c r="B127" s="16" t="s">
        <v>249</v>
      </c>
      <c r="E127" s="231"/>
      <c r="H127" s="61"/>
    </row>
    <row r="128" spans="1:17">
      <c r="A128" s="71"/>
      <c r="B128" s="72"/>
      <c r="E128" s="231"/>
      <c r="H128" s="61"/>
    </row>
    <row r="129" spans="1:8">
      <c r="B129" s="52" t="s">
        <v>25</v>
      </c>
      <c r="C129" s="214">
        <v>16.399999999999999</v>
      </c>
      <c r="E129" s="232"/>
      <c r="G129" s="213"/>
      <c r="H129" s="41"/>
    </row>
    <row r="130" spans="1:8">
      <c r="B130" s="52"/>
      <c r="C130" s="207" t="s">
        <v>170</v>
      </c>
      <c r="D130" s="203"/>
      <c r="E130" s="235" t="s">
        <v>171</v>
      </c>
      <c r="F130" s="203"/>
      <c r="G130" s="208" t="s">
        <v>164</v>
      </c>
      <c r="H130" s="41"/>
    </row>
    <row r="131" spans="1:8" ht="48.75" customHeight="1">
      <c r="A131" s="43" t="s">
        <v>70</v>
      </c>
      <c r="B131" s="72" t="s">
        <v>95</v>
      </c>
      <c r="C131" s="120"/>
      <c r="E131" s="231"/>
      <c r="H131" s="61"/>
    </row>
    <row r="132" spans="1:8">
      <c r="A132" s="71"/>
      <c r="B132" s="72"/>
      <c r="C132" s="120"/>
      <c r="E132" s="231"/>
      <c r="H132" s="61"/>
    </row>
    <row r="133" spans="1:8">
      <c r="B133" s="52" t="s">
        <v>22</v>
      </c>
      <c r="C133" s="214">
        <f>C88</f>
        <v>7</v>
      </c>
      <c r="E133" s="232"/>
      <c r="G133" s="213"/>
      <c r="H133" s="41"/>
    </row>
    <row r="134" spans="1:8">
      <c r="B134" s="52"/>
      <c r="E134" s="231"/>
      <c r="H134" s="61"/>
    </row>
    <row r="135" spans="1:8" ht="116.25">
      <c r="A135" s="43" t="s">
        <v>57</v>
      </c>
      <c r="B135" s="52" t="s">
        <v>96</v>
      </c>
      <c r="E135" s="231"/>
      <c r="H135" s="61"/>
    </row>
    <row r="136" spans="1:8">
      <c r="B136" s="52"/>
      <c r="E136" s="231"/>
      <c r="H136" s="61"/>
    </row>
    <row r="137" spans="1:8">
      <c r="B137" s="52" t="s">
        <v>20</v>
      </c>
      <c r="C137" s="214">
        <f>(48.18-C117)*1.3</f>
        <v>58.189300000000003</v>
      </c>
      <c r="E137" s="232"/>
      <c r="G137" s="213"/>
      <c r="H137" s="41"/>
    </row>
    <row r="138" spans="1:8">
      <c r="B138" s="52"/>
      <c r="E138" s="231"/>
      <c r="H138" s="61"/>
    </row>
    <row r="139" spans="1:8" ht="141.94999999999999" customHeight="1">
      <c r="A139" s="43" t="s">
        <v>58</v>
      </c>
      <c r="B139" s="52" t="s">
        <v>131</v>
      </c>
      <c r="E139" s="231"/>
      <c r="H139" s="61"/>
    </row>
    <row r="140" spans="1:8">
      <c r="B140" s="52"/>
      <c r="E140" s="231"/>
      <c r="H140" s="61"/>
    </row>
    <row r="141" spans="1:8">
      <c r="B141" s="52" t="s">
        <v>25</v>
      </c>
      <c r="C141" s="214">
        <f>C80/0.15</f>
        <v>5.3333333333333339</v>
      </c>
      <c r="E141" s="232"/>
      <c r="G141" s="213"/>
      <c r="H141" s="41"/>
    </row>
    <row r="142" spans="1:8">
      <c r="B142" s="52"/>
      <c r="E142" s="231"/>
      <c r="H142" s="61"/>
    </row>
    <row r="143" spans="1:8" ht="55.7" customHeight="1">
      <c r="A143" s="43" t="s">
        <v>64</v>
      </c>
      <c r="B143" s="52" t="s">
        <v>97</v>
      </c>
      <c r="E143" s="231"/>
      <c r="H143" s="61"/>
    </row>
    <row r="144" spans="1:8">
      <c r="B144" s="52"/>
      <c r="E144" s="231"/>
      <c r="H144" s="61"/>
    </row>
    <row r="145" spans="1:17">
      <c r="B145" s="52" t="s">
        <v>41</v>
      </c>
      <c r="C145" s="214">
        <v>1</v>
      </c>
      <c r="E145" s="232"/>
      <c r="G145" s="213"/>
      <c r="H145" s="41"/>
    </row>
    <row r="146" spans="1:17">
      <c r="B146" s="52"/>
      <c r="E146" s="231"/>
      <c r="H146" s="61"/>
    </row>
    <row r="147" spans="1:17" s="64" customFormat="1" ht="63.75">
      <c r="A147" s="43" t="s">
        <v>65</v>
      </c>
      <c r="B147" s="52" t="s">
        <v>7</v>
      </c>
      <c r="C147" s="41"/>
      <c r="D147" s="41"/>
      <c r="E147" s="231"/>
      <c r="F147" s="41"/>
      <c r="G147" s="97"/>
      <c r="H147" s="61"/>
      <c r="I147" s="62"/>
      <c r="J147" s="63"/>
      <c r="M147" s="65"/>
      <c r="N147" s="65"/>
      <c r="O147" s="65"/>
      <c r="Q147" s="82"/>
    </row>
    <row r="148" spans="1:17">
      <c r="B148" s="52"/>
      <c r="C148" s="59"/>
      <c r="D148" s="59"/>
      <c r="E148" s="233"/>
      <c r="F148" s="59"/>
      <c r="G148" s="104"/>
      <c r="H148" s="64"/>
      <c r="Q148" s="87"/>
    </row>
    <row r="149" spans="1:17">
      <c r="B149" s="52" t="s">
        <v>39</v>
      </c>
      <c r="E149" s="231"/>
      <c r="G149" s="213"/>
      <c r="H149" s="41"/>
    </row>
    <row r="150" spans="1:17">
      <c r="B150" s="52"/>
      <c r="E150" s="231"/>
      <c r="H150" s="61"/>
    </row>
    <row r="151" spans="1:17" s="7" customFormat="1">
      <c r="A151" s="43"/>
      <c r="B151" s="60" t="s">
        <v>21</v>
      </c>
      <c r="C151" s="56"/>
      <c r="D151" s="56"/>
      <c r="E151" s="239"/>
      <c r="F151" s="56"/>
      <c r="G151" s="209"/>
      <c r="H151" s="49"/>
      <c r="I151" s="26"/>
      <c r="J151" s="22"/>
      <c r="M151" s="30"/>
      <c r="N151" s="30"/>
      <c r="O151" s="30"/>
      <c r="Q151" s="86"/>
    </row>
    <row r="152" spans="1:17" ht="15.95" customHeight="1">
      <c r="A152" s="47"/>
      <c r="B152" s="9"/>
      <c r="C152" s="56"/>
      <c r="D152" s="56"/>
      <c r="E152" s="239"/>
      <c r="F152" s="56"/>
      <c r="G152" s="100"/>
      <c r="Q152" s="86"/>
    </row>
    <row r="153" spans="1:17">
      <c r="A153" s="11" t="s">
        <v>42</v>
      </c>
      <c r="B153" s="9" t="s">
        <v>18</v>
      </c>
      <c r="C153" s="46"/>
      <c r="D153" s="7"/>
      <c r="E153" s="237"/>
      <c r="F153" s="7"/>
      <c r="G153" s="99"/>
      <c r="H153" s="7"/>
      <c r="Q153" s="91"/>
    </row>
    <row r="154" spans="1:17">
      <c r="A154" s="11"/>
      <c r="B154" s="9"/>
      <c r="C154" s="207" t="s">
        <v>170</v>
      </c>
      <c r="D154" s="203"/>
      <c r="E154" s="235" t="s">
        <v>171</v>
      </c>
      <c r="F154" s="203"/>
      <c r="G154" s="208" t="s">
        <v>164</v>
      </c>
      <c r="H154" s="7"/>
      <c r="Q154" s="91"/>
    </row>
    <row r="155" spans="1:17" ht="43.5" customHeight="1">
      <c r="A155" s="43" t="s">
        <v>112</v>
      </c>
      <c r="B155" s="73" t="s">
        <v>98</v>
      </c>
      <c r="E155" s="231"/>
      <c r="H155" s="61"/>
    </row>
    <row r="156" spans="1:17">
      <c r="B156" s="52"/>
      <c r="E156" s="231"/>
      <c r="H156" s="61"/>
    </row>
    <row r="157" spans="1:17">
      <c r="B157" s="52" t="s">
        <v>22</v>
      </c>
      <c r="C157" s="214">
        <v>22</v>
      </c>
      <c r="E157" s="232"/>
      <c r="G157" s="213"/>
      <c r="H157" s="41"/>
    </row>
    <row r="158" spans="1:17">
      <c r="B158" s="52"/>
      <c r="C158" s="120"/>
      <c r="E158" s="231"/>
      <c r="H158" s="41"/>
    </row>
    <row r="159" spans="1:17" ht="97.5" customHeight="1">
      <c r="A159" s="43" t="s">
        <v>78</v>
      </c>
      <c r="B159" s="73" t="s">
        <v>99</v>
      </c>
      <c r="E159" s="231"/>
      <c r="H159" s="61"/>
    </row>
    <row r="160" spans="1:17">
      <c r="B160" s="52"/>
      <c r="E160" s="231"/>
      <c r="H160" s="61"/>
    </row>
    <row r="161" spans="1:17">
      <c r="B161" s="52" t="s">
        <v>22</v>
      </c>
      <c r="C161" s="214">
        <v>22</v>
      </c>
      <c r="E161" s="230"/>
      <c r="G161" s="213"/>
      <c r="H161" s="41"/>
    </row>
    <row r="162" spans="1:17" s="79" customFormat="1">
      <c r="A162" s="43"/>
      <c r="B162" s="52"/>
      <c r="C162" s="124"/>
      <c r="D162" s="41"/>
      <c r="E162" s="231"/>
      <c r="F162" s="41"/>
      <c r="G162" s="97"/>
      <c r="H162" s="41"/>
      <c r="Q162" s="95"/>
    </row>
    <row r="163" spans="1:17" s="79" customFormat="1" ht="114" customHeight="1">
      <c r="A163" s="43" t="s">
        <v>101</v>
      </c>
      <c r="B163" s="10" t="s">
        <v>127</v>
      </c>
      <c r="C163" s="41"/>
      <c r="D163" s="41"/>
      <c r="E163" s="231"/>
      <c r="F163" s="41"/>
      <c r="G163" s="97"/>
      <c r="H163" s="125"/>
      <c r="K163" s="10"/>
      <c r="Q163" s="82"/>
    </row>
    <row r="164" spans="1:17" s="79" customFormat="1">
      <c r="A164" s="43"/>
      <c r="B164" s="52" t="s">
        <v>117</v>
      </c>
      <c r="C164" s="216">
        <v>2</v>
      </c>
      <c r="D164" s="41"/>
      <c r="E164" s="232"/>
      <c r="F164" s="41"/>
      <c r="G164" s="213"/>
      <c r="H164" s="41"/>
      <c r="Q164" s="95"/>
    </row>
    <row r="165" spans="1:17" s="79" customFormat="1">
      <c r="A165" s="43"/>
      <c r="B165" s="52"/>
      <c r="C165" s="124"/>
      <c r="D165" s="41"/>
      <c r="E165" s="231"/>
      <c r="F165" s="41"/>
      <c r="G165" s="97"/>
      <c r="H165" s="41"/>
      <c r="Q165" s="95"/>
    </row>
    <row r="166" spans="1:17" s="79" customFormat="1" ht="162" customHeight="1">
      <c r="A166" s="43" t="s">
        <v>79</v>
      </c>
      <c r="B166" s="10" t="s">
        <v>128</v>
      </c>
      <c r="C166" s="41"/>
      <c r="D166" s="41"/>
      <c r="E166" s="231"/>
      <c r="F166" s="41"/>
      <c r="G166" s="97"/>
      <c r="H166" s="125"/>
      <c r="K166" s="10"/>
      <c r="Q166" s="82"/>
    </row>
    <row r="167" spans="1:17" s="79" customFormat="1">
      <c r="A167" s="43"/>
      <c r="B167" s="52"/>
      <c r="C167" s="41"/>
      <c r="D167" s="41"/>
      <c r="E167" s="231"/>
      <c r="F167" s="41"/>
      <c r="G167" s="97"/>
      <c r="H167" s="125"/>
      <c r="Q167" s="82"/>
    </row>
    <row r="168" spans="1:17" s="79" customFormat="1">
      <c r="A168" s="43"/>
      <c r="B168" s="52" t="s">
        <v>117</v>
      </c>
      <c r="C168" s="216">
        <f>C164</f>
        <v>2</v>
      </c>
      <c r="D168" s="41"/>
      <c r="E168" s="232"/>
      <c r="F168" s="41"/>
      <c r="G168" s="213"/>
      <c r="H168" s="41"/>
      <c r="Q168" s="95"/>
    </row>
    <row r="169" spans="1:17" s="5" customFormat="1">
      <c r="A169" s="6"/>
      <c r="B169" s="10"/>
      <c r="C169" s="207" t="s">
        <v>170</v>
      </c>
      <c r="D169" s="203"/>
      <c r="E169" s="235" t="s">
        <v>171</v>
      </c>
      <c r="F169" s="203"/>
      <c r="G169" s="208" t="s">
        <v>164</v>
      </c>
      <c r="H169" s="2"/>
      <c r="Q169" s="89"/>
    </row>
    <row r="170" spans="1:17" s="5" customFormat="1" ht="211.5" customHeight="1">
      <c r="A170" s="6" t="s">
        <v>109</v>
      </c>
      <c r="B170" s="126" t="s">
        <v>167</v>
      </c>
      <c r="C170" s="2"/>
      <c r="D170" s="2"/>
      <c r="E170" s="231"/>
      <c r="F170" s="2"/>
      <c r="G170" s="105"/>
      <c r="H170" s="15"/>
      <c r="K170" s="10"/>
      <c r="Q170" s="89"/>
    </row>
    <row r="171" spans="1:17" s="5" customFormat="1">
      <c r="A171" s="6"/>
      <c r="B171" s="10"/>
      <c r="C171" s="2"/>
      <c r="D171" s="2"/>
      <c r="E171" s="231"/>
      <c r="F171" s="2"/>
      <c r="G171" s="105"/>
      <c r="H171" s="15"/>
      <c r="Q171" s="89"/>
    </row>
    <row r="172" spans="1:17" s="5" customFormat="1">
      <c r="A172" s="6"/>
      <c r="B172" s="10" t="s">
        <v>23</v>
      </c>
      <c r="C172" s="217">
        <v>3</v>
      </c>
      <c r="D172" s="2"/>
      <c r="E172" s="232"/>
      <c r="F172" s="2"/>
      <c r="G172" s="218"/>
      <c r="H172" s="2"/>
      <c r="J172" s="122"/>
      <c r="Q172" s="89"/>
    </row>
    <row r="173" spans="1:17">
      <c r="B173" s="52"/>
      <c r="E173" s="231"/>
      <c r="H173" s="61"/>
      <c r="I173" s="38"/>
      <c r="J173" s="38"/>
      <c r="M173" s="38"/>
      <c r="N173" s="38"/>
      <c r="O173" s="38"/>
    </row>
    <row r="174" spans="1:17" ht="40.5" customHeight="1">
      <c r="A174" s="43" t="s">
        <v>1</v>
      </c>
      <c r="B174" s="52" t="s">
        <v>104</v>
      </c>
      <c r="E174" s="231"/>
      <c r="H174" s="61"/>
    </row>
    <row r="175" spans="1:17">
      <c r="B175" s="52"/>
      <c r="E175" s="231"/>
      <c r="H175" s="61"/>
    </row>
    <row r="176" spans="1:17">
      <c r="B176" s="52" t="s">
        <v>23</v>
      </c>
      <c r="C176" s="214">
        <v>2</v>
      </c>
      <c r="E176" s="232"/>
      <c r="G176" s="213"/>
      <c r="H176" s="41"/>
      <c r="Q176" s="95"/>
    </row>
    <row r="177" spans="1:17">
      <c r="B177" s="52"/>
      <c r="E177" s="231"/>
      <c r="H177" s="41"/>
      <c r="Q177" s="95"/>
    </row>
    <row r="178" spans="1:17" ht="30.75" customHeight="1">
      <c r="A178" s="43" t="s">
        <v>105</v>
      </c>
      <c r="B178" s="52" t="s">
        <v>103</v>
      </c>
      <c r="E178" s="231"/>
      <c r="H178" s="61"/>
    </row>
    <row r="179" spans="1:17">
      <c r="B179" s="52"/>
      <c r="E179" s="231"/>
      <c r="H179" s="49"/>
    </row>
    <row r="180" spans="1:17">
      <c r="B180" s="52" t="s">
        <v>22</v>
      </c>
      <c r="C180" s="214">
        <v>22</v>
      </c>
      <c r="E180" s="230"/>
      <c r="G180" s="213"/>
      <c r="H180" s="41"/>
    </row>
    <row r="181" spans="1:17">
      <c r="B181" s="52"/>
      <c r="E181" s="231"/>
      <c r="H181" s="41"/>
      <c r="Q181" s="95"/>
    </row>
    <row r="182" spans="1:17" ht="42.75" customHeight="1">
      <c r="A182" s="43" t="s">
        <v>2</v>
      </c>
      <c r="B182" s="52" t="s">
        <v>102</v>
      </c>
      <c r="E182" s="231"/>
      <c r="H182" s="61"/>
    </row>
    <row r="183" spans="1:17">
      <c r="B183" s="52"/>
      <c r="E183" s="231"/>
      <c r="H183" s="49"/>
    </row>
    <row r="184" spans="1:17">
      <c r="B184" s="52" t="s">
        <v>22</v>
      </c>
      <c r="C184" s="214">
        <v>22</v>
      </c>
      <c r="E184" s="230"/>
      <c r="G184" s="213"/>
      <c r="H184" s="41"/>
    </row>
    <row r="185" spans="1:17">
      <c r="B185" s="52"/>
      <c r="E185" s="240"/>
      <c r="H185" s="41"/>
    </row>
    <row r="186" spans="1:17" ht="22.5" customHeight="1">
      <c r="A186" s="43" t="s">
        <v>110</v>
      </c>
      <c r="B186" s="52" t="s">
        <v>106</v>
      </c>
      <c r="E186" s="231"/>
      <c r="H186" s="61"/>
    </row>
    <row r="187" spans="1:17">
      <c r="B187" s="52"/>
      <c r="E187" s="231"/>
      <c r="H187" s="49"/>
    </row>
    <row r="188" spans="1:17">
      <c r="B188" s="52" t="s">
        <v>22</v>
      </c>
      <c r="C188" s="214">
        <v>22</v>
      </c>
      <c r="E188" s="230"/>
      <c r="G188" s="213"/>
      <c r="H188" s="41"/>
    </row>
    <row r="189" spans="1:17">
      <c r="B189" s="52"/>
      <c r="H189" s="61"/>
    </row>
    <row r="190" spans="1:17" s="64" customFormat="1" ht="63.75">
      <c r="A190" s="43" t="s">
        <v>111</v>
      </c>
      <c r="B190" s="52" t="s">
        <v>9</v>
      </c>
      <c r="C190" s="41"/>
      <c r="D190" s="41"/>
      <c r="E190" s="107"/>
      <c r="F190" s="41"/>
      <c r="G190" s="97"/>
      <c r="H190" s="61"/>
      <c r="I190" s="62"/>
      <c r="J190" s="63"/>
      <c r="M190" s="65"/>
      <c r="N190" s="65"/>
      <c r="O190" s="65"/>
      <c r="Q190" s="82"/>
    </row>
    <row r="191" spans="1:17">
      <c r="B191" s="52"/>
      <c r="C191" s="59"/>
      <c r="D191" s="59"/>
      <c r="E191" s="114"/>
      <c r="F191" s="59"/>
      <c r="G191" s="104"/>
      <c r="H191" s="64"/>
      <c r="Q191" s="87"/>
    </row>
    <row r="192" spans="1:17">
      <c r="B192" s="52" t="s">
        <v>39</v>
      </c>
      <c r="G192" s="213"/>
      <c r="H192" s="41"/>
      <c r="J192" s="97"/>
      <c r="K192" s="97"/>
    </row>
    <row r="193" spans="2:17">
      <c r="B193" s="52"/>
      <c r="H193" s="61"/>
    </row>
    <row r="194" spans="2:17">
      <c r="B194" s="48" t="s">
        <v>24</v>
      </c>
      <c r="C194" s="56"/>
      <c r="D194" s="56"/>
      <c r="E194" s="112"/>
      <c r="F194" s="56"/>
      <c r="G194" s="209"/>
      <c r="Q194" s="86"/>
    </row>
    <row r="195" spans="2:17">
      <c r="H195" s="61"/>
    </row>
    <row r="196" spans="2:17">
      <c r="H196" s="61"/>
    </row>
  </sheetData>
  <sheetProtection selectLockedCells="1"/>
  <mergeCells count="2">
    <mergeCell ref="E22:G22"/>
    <mergeCell ref="E23:G23"/>
  </mergeCells>
  <conditionalFormatting sqref="G14:G17 C41:G57 C60:G64 C66:G89 C94:G105 C109:G113 C115:G129 C131:G141 C145:G153 C155:G164 C168:G168 C170:G188 C192:G194">
    <cfRule type="cellIs" dxfId="21" priority="6" stopIfTrue="1" operator="greaterThan">
      <formula>0</formula>
    </cfRule>
  </conditionalFormatting>
  <pageMargins left="1.1811023622047245" right="0.15748031496062992" top="0.59055118110236227" bottom="0.59055118110236227" header="0.39370078740157483" footer="0.39370078740157483"/>
  <pageSetup paperSize="9" orientation="portrait" useFirstPageNumber="1" r:id="rId1"/>
  <headerFooter alignWithMargins="0">
    <oddHeader>&amp;R&amp;"Arial,Navadno"&amp;9KANAL VS5</oddHeader>
    <oddFooter>&amp;C&amp;"Arial,Navadno"&amp;10&amp;P</oddFooter>
  </headerFooter>
  <rowBreaks count="6" manualBreakCount="6">
    <brk id="33" max="6" man="1"/>
    <brk id="64" max="6" man="1"/>
    <brk id="89" max="6" man="1"/>
    <brk id="129" max="6" man="1"/>
    <brk id="151" max="6" man="1"/>
    <brk id="168"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26"/>
  <sheetViews>
    <sheetView view="pageBreakPreview" topLeftCell="A19" zoomScale="60" zoomScaleNormal="100" workbookViewId="0">
      <selection activeCell="E41" sqref="E41:E218"/>
    </sheetView>
  </sheetViews>
  <sheetFormatPr defaultColWidth="8.6640625" defaultRowHeight="15.75"/>
  <cols>
    <col min="1" max="1" width="6.5546875" style="43" customWidth="1"/>
    <col min="2" max="2" width="27.44140625" style="53" customWidth="1"/>
    <col min="3" max="3" width="7.44140625" style="41" customWidth="1"/>
    <col min="4" max="4" width="1.109375" style="41" customWidth="1"/>
    <col min="5" max="5" width="11.109375" style="107" customWidth="1"/>
    <col min="6" max="6" width="3.44140625" style="41" customWidth="1"/>
    <col min="7" max="7" width="14" style="97" customWidth="1"/>
    <col min="8" max="8" width="3.6640625" style="38" customWidth="1"/>
    <col min="9" max="9" width="14.88671875" style="36" customWidth="1"/>
    <col min="10" max="10" width="8.6640625" style="37" customWidth="1"/>
    <col min="11" max="11" width="25.5546875" style="38" customWidth="1"/>
    <col min="12" max="12" width="15.5546875" style="38" customWidth="1"/>
    <col min="13" max="15" width="8.6640625" style="39" customWidth="1"/>
    <col min="16" max="16" width="8.6640625" style="38" customWidth="1"/>
    <col min="17" max="17" width="11.109375" style="82" customWidth="1"/>
    <col min="18" max="16384" width="8.6640625" style="38"/>
  </cols>
  <sheetData>
    <row r="1" spans="1:17" s="79" customFormat="1" ht="15.95" customHeight="1">
      <c r="A1" s="34"/>
      <c r="B1" s="35" t="s">
        <v>11</v>
      </c>
      <c r="C1" s="1" t="s">
        <v>123</v>
      </c>
      <c r="D1" s="33"/>
      <c r="E1" s="33"/>
      <c r="F1" s="2"/>
      <c r="G1" s="96"/>
      <c r="H1" s="78"/>
      <c r="Q1" s="90"/>
    </row>
    <row r="2" spans="1:17" s="79" customFormat="1" ht="15.95" customHeight="1">
      <c r="A2" s="34"/>
      <c r="B2" s="35"/>
      <c r="C2" s="1" t="s">
        <v>124</v>
      </c>
      <c r="D2" s="33"/>
      <c r="E2" s="33"/>
      <c r="F2" s="2"/>
      <c r="G2" s="96"/>
      <c r="H2" s="78"/>
      <c r="Q2" s="90"/>
    </row>
    <row r="3" spans="1:17" s="79" customFormat="1" ht="15.95" customHeight="1">
      <c r="A3" s="34"/>
      <c r="B3" s="35" t="s">
        <v>8</v>
      </c>
      <c r="C3" s="40" t="s">
        <v>189</v>
      </c>
      <c r="D3" s="33"/>
      <c r="E3" s="106"/>
      <c r="F3" s="2"/>
      <c r="G3" s="96"/>
      <c r="H3" s="78"/>
      <c r="Q3" s="90"/>
    </row>
    <row r="4" spans="1:17" s="79" customFormat="1">
      <c r="A4" s="34"/>
      <c r="B4" s="35" t="s">
        <v>12</v>
      </c>
      <c r="C4" s="40" t="s">
        <v>175</v>
      </c>
      <c r="D4" s="41"/>
      <c r="E4" s="107"/>
      <c r="F4" s="41"/>
      <c r="G4" s="97"/>
      <c r="Q4" s="82"/>
    </row>
    <row r="5" spans="1:17" s="79" customFormat="1">
      <c r="A5" s="34"/>
      <c r="B5" s="35" t="s">
        <v>13</v>
      </c>
      <c r="C5" s="1" t="s">
        <v>172</v>
      </c>
      <c r="D5" s="33"/>
      <c r="E5" s="106"/>
      <c r="F5" s="2"/>
      <c r="G5" s="97"/>
      <c r="Q5" s="90"/>
    </row>
    <row r="6" spans="1:17">
      <c r="A6" s="34"/>
      <c r="B6" s="35"/>
      <c r="C6" s="42" t="s">
        <v>173</v>
      </c>
    </row>
    <row r="7" spans="1:17">
      <c r="A7" s="34"/>
      <c r="B7" s="35"/>
      <c r="C7" s="42"/>
    </row>
    <row r="9" spans="1:17" ht="18">
      <c r="A9" s="43" t="s">
        <v>14</v>
      </c>
      <c r="B9" s="44" t="s">
        <v>52</v>
      </c>
      <c r="C9" s="45"/>
      <c r="D9" s="45"/>
      <c r="E9" s="108"/>
      <c r="F9" s="45"/>
      <c r="G9" s="98"/>
      <c r="Q9" s="83"/>
    </row>
    <row r="10" spans="1:17">
      <c r="B10" s="45"/>
      <c r="C10" s="45"/>
      <c r="D10" s="45"/>
      <c r="E10" s="108"/>
      <c r="F10" s="45"/>
      <c r="G10" s="98"/>
      <c r="Q10" s="83"/>
    </row>
    <row r="12" spans="1:17" s="7" customFormat="1">
      <c r="A12" s="8" t="s">
        <v>15</v>
      </c>
      <c r="B12" s="9" t="s">
        <v>16</v>
      </c>
      <c r="C12" s="46"/>
      <c r="E12" s="109"/>
      <c r="G12" s="99"/>
      <c r="I12" s="26"/>
      <c r="J12" s="22"/>
      <c r="M12" s="30"/>
      <c r="N12" s="30"/>
      <c r="O12" s="30"/>
      <c r="Q12" s="91"/>
    </row>
    <row r="13" spans="1:17" s="7" customFormat="1">
      <c r="A13" s="8"/>
      <c r="B13" s="9"/>
      <c r="C13" s="46"/>
      <c r="E13" s="109"/>
      <c r="G13" s="99"/>
      <c r="I13" s="26"/>
      <c r="J13" s="22"/>
      <c r="M13" s="30"/>
      <c r="N13" s="30"/>
      <c r="O13" s="30"/>
      <c r="Q13" s="91"/>
    </row>
    <row r="14" spans="1:17" s="7" customFormat="1">
      <c r="A14" s="47" t="s">
        <v>27</v>
      </c>
      <c r="B14" s="48" t="s">
        <v>26</v>
      </c>
      <c r="C14" s="49"/>
      <c r="D14" s="49"/>
      <c r="E14" s="110"/>
      <c r="F14" s="49"/>
      <c r="G14" s="209"/>
      <c r="H14" s="80"/>
      <c r="I14" s="26"/>
      <c r="J14" s="22"/>
      <c r="K14" s="119"/>
      <c r="M14" s="30"/>
      <c r="N14" s="30"/>
      <c r="O14" s="30"/>
      <c r="Q14" s="84"/>
    </row>
    <row r="15" spans="1:17">
      <c r="A15" s="47" t="s">
        <v>32</v>
      </c>
      <c r="B15" s="48" t="s">
        <v>17</v>
      </c>
      <c r="C15" s="49"/>
      <c r="D15" s="49"/>
      <c r="E15" s="110"/>
      <c r="F15" s="49"/>
      <c r="G15" s="209"/>
      <c r="H15" s="80"/>
      <c r="K15" s="116"/>
      <c r="Q15" s="84"/>
    </row>
    <row r="16" spans="1:17">
      <c r="A16" s="47" t="s">
        <v>42</v>
      </c>
      <c r="B16" s="48" t="s">
        <v>18</v>
      </c>
      <c r="C16" s="49"/>
      <c r="D16" s="49"/>
      <c r="E16" s="110"/>
      <c r="F16" s="49"/>
      <c r="G16" s="209"/>
      <c r="H16" s="80"/>
      <c r="K16" s="116"/>
      <c r="Q16" s="84"/>
    </row>
    <row r="17" spans="1:17">
      <c r="A17" s="47"/>
      <c r="B17" s="48"/>
      <c r="C17" s="49"/>
      <c r="D17" s="49"/>
      <c r="E17" s="110"/>
      <c r="F17" s="49"/>
      <c r="G17" s="100"/>
      <c r="K17" s="116"/>
      <c r="Q17" s="84"/>
    </row>
    <row r="18" spans="1:17" ht="16.5" thickBot="1">
      <c r="A18" s="47"/>
      <c r="B18" s="50" t="s">
        <v>53</v>
      </c>
      <c r="C18" s="51"/>
      <c r="D18" s="51"/>
      <c r="E18" s="111"/>
      <c r="F18" s="51"/>
      <c r="G18" s="210"/>
      <c r="H18" s="80"/>
      <c r="K18" s="117"/>
      <c r="Q18" s="85"/>
    </row>
    <row r="22" spans="1:17" ht="15.95" customHeight="1">
      <c r="B22" s="53" t="s">
        <v>81</v>
      </c>
      <c r="E22" s="458" t="s">
        <v>143</v>
      </c>
      <c r="F22" s="458"/>
      <c r="G22" s="458"/>
    </row>
    <row r="23" spans="1:17" ht="84.75" customHeight="1">
      <c r="B23" s="53" t="s">
        <v>84</v>
      </c>
      <c r="E23" s="458" t="s">
        <v>241</v>
      </c>
      <c r="F23" s="458"/>
      <c r="G23" s="458"/>
    </row>
    <row r="25" spans="1:17">
      <c r="B25" s="53" t="s">
        <v>82</v>
      </c>
    </row>
    <row r="26" spans="1:17" ht="63.75">
      <c r="B26" s="53" t="s">
        <v>83</v>
      </c>
    </row>
    <row r="28" spans="1:17">
      <c r="K28" s="53"/>
    </row>
    <row r="29" spans="1:17">
      <c r="K29" s="53"/>
    </row>
    <row r="33" spans="1:17">
      <c r="B33" s="53" t="s">
        <v>166</v>
      </c>
    </row>
    <row r="34" spans="1:17" s="7" customFormat="1">
      <c r="A34" s="43"/>
      <c r="B34" s="53"/>
      <c r="C34" s="41"/>
      <c r="D34" s="41"/>
      <c r="E34" s="107"/>
      <c r="F34" s="41"/>
      <c r="G34" s="97"/>
      <c r="H34" s="38"/>
      <c r="I34" s="26"/>
      <c r="J34" s="22"/>
      <c r="M34" s="30"/>
      <c r="N34" s="30"/>
      <c r="O34" s="30"/>
      <c r="Q34" s="82"/>
    </row>
    <row r="35" spans="1:17">
      <c r="A35" s="11" t="s">
        <v>19</v>
      </c>
      <c r="B35" s="9" t="s">
        <v>16</v>
      </c>
      <c r="C35" s="46"/>
      <c r="D35" s="7"/>
      <c r="E35" s="109"/>
      <c r="F35" s="7"/>
      <c r="G35" s="99"/>
      <c r="H35" s="7"/>
      <c r="Q35" s="91"/>
    </row>
    <row r="36" spans="1:17" s="7" customFormat="1">
      <c r="A36" s="43"/>
      <c r="B36" s="55"/>
      <c r="C36" s="56"/>
      <c r="D36" s="56"/>
      <c r="E36" s="112"/>
      <c r="F36" s="56"/>
      <c r="G36" s="101"/>
      <c r="H36" s="38"/>
      <c r="I36" s="26"/>
      <c r="J36" s="22"/>
      <c r="M36" s="30"/>
      <c r="N36" s="30"/>
      <c r="O36" s="30"/>
      <c r="Q36" s="86"/>
    </row>
    <row r="37" spans="1:17" s="7" customFormat="1">
      <c r="A37" s="11" t="s">
        <v>27</v>
      </c>
      <c r="B37" s="9" t="s">
        <v>26</v>
      </c>
      <c r="C37" s="46"/>
      <c r="E37" s="109"/>
      <c r="G37" s="99"/>
      <c r="I37" s="26"/>
      <c r="J37" s="22"/>
      <c r="M37" s="30"/>
      <c r="N37" s="30"/>
      <c r="O37" s="30"/>
      <c r="Q37" s="91"/>
    </row>
    <row r="38" spans="1:17" s="7" customFormat="1">
      <c r="A38" s="8"/>
      <c r="B38" s="9"/>
      <c r="C38" s="207" t="s">
        <v>170</v>
      </c>
      <c r="D38" s="203"/>
      <c r="E38" s="208" t="s">
        <v>171</v>
      </c>
      <c r="F38" s="203"/>
      <c r="G38" s="208" t="s">
        <v>164</v>
      </c>
      <c r="I38" s="26"/>
      <c r="J38" s="22"/>
      <c r="M38" s="30"/>
      <c r="N38" s="30"/>
      <c r="O38" s="30"/>
      <c r="Q38" s="91"/>
    </row>
    <row r="39" spans="1:17" s="17" customFormat="1" ht="39">
      <c r="A39" s="12" t="s">
        <v>28</v>
      </c>
      <c r="B39" s="13" t="s">
        <v>139</v>
      </c>
      <c r="C39" s="46"/>
      <c r="D39" s="7"/>
      <c r="E39" s="109"/>
      <c r="F39" s="7"/>
      <c r="G39" s="99"/>
      <c r="H39" s="7"/>
      <c r="I39" s="27"/>
      <c r="J39" s="23"/>
      <c r="M39" s="31"/>
      <c r="N39" s="31"/>
      <c r="O39" s="31"/>
      <c r="Q39" s="91"/>
    </row>
    <row r="40" spans="1:17" s="7" customFormat="1">
      <c r="A40" s="18"/>
      <c r="B40" s="13"/>
      <c r="C40" s="57"/>
      <c r="D40" s="17"/>
      <c r="E40" s="113"/>
      <c r="F40" s="17"/>
      <c r="G40" s="102"/>
      <c r="H40" s="17"/>
      <c r="I40" s="26"/>
      <c r="J40" s="22"/>
      <c r="M40" s="30"/>
      <c r="N40" s="30"/>
      <c r="O40" s="30"/>
      <c r="Q40" s="92"/>
    </row>
    <row r="41" spans="1:17" s="7" customFormat="1">
      <c r="A41" s="8"/>
      <c r="B41" s="52" t="s">
        <v>22</v>
      </c>
      <c r="C41" s="214">
        <v>170</v>
      </c>
      <c r="D41" s="41"/>
      <c r="E41" s="230"/>
      <c r="F41" s="81"/>
      <c r="G41" s="213"/>
      <c r="H41" s="81"/>
      <c r="I41" s="26"/>
      <c r="J41" s="22"/>
      <c r="M41" s="30"/>
      <c r="N41" s="30"/>
      <c r="O41" s="30"/>
      <c r="Q41" s="82"/>
    </row>
    <row r="42" spans="1:17" s="7" customFormat="1">
      <c r="A42" s="8"/>
      <c r="B42" s="52"/>
      <c r="C42" s="41"/>
      <c r="D42" s="41"/>
      <c r="E42" s="231"/>
      <c r="F42" s="41"/>
      <c r="G42" s="97"/>
      <c r="H42" s="41"/>
      <c r="I42" s="26"/>
      <c r="J42" s="22"/>
      <c r="M42" s="30"/>
      <c r="N42" s="30"/>
      <c r="O42" s="30"/>
      <c r="Q42" s="82"/>
    </row>
    <row r="43" spans="1:17" s="19" customFormat="1" ht="57.75" customHeight="1">
      <c r="A43" s="12" t="s">
        <v>56</v>
      </c>
      <c r="B43" s="52" t="s">
        <v>68</v>
      </c>
      <c r="C43" s="41"/>
      <c r="D43" s="41"/>
      <c r="E43" s="231"/>
      <c r="F43" s="41"/>
      <c r="G43" s="97"/>
      <c r="H43" s="7"/>
      <c r="I43" s="28"/>
      <c r="J43" s="24"/>
      <c r="M43" s="32"/>
      <c r="N43" s="32"/>
      <c r="O43" s="32"/>
      <c r="Q43" s="82"/>
    </row>
    <row r="44" spans="1:17" s="7" customFormat="1">
      <c r="A44" s="20"/>
      <c r="B44" s="52"/>
      <c r="C44" s="59"/>
      <c r="D44" s="59"/>
      <c r="E44" s="231"/>
      <c r="F44" s="59"/>
      <c r="G44" s="104"/>
      <c r="H44" s="19"/>
      <c r="I44" s="26"/>
      <c r="J44" s="22"/>
      <c r="M44" s="30"/>
      <c r="N44" s="30"/>
      <c r="O44" s="30"/>
      <c r="Q44" s="87"/>
    </row>
    <row r="45" spans="1:17" s="7" customFormat="1">
      <c r="A45" s="8"/>
      <c r="B45" s="52" t="s">
        <v>23</v>
      </c>
      <c r="C45" s="214">
        <f>INT(C41/20)+1</f>
        <v>9</v>
      </c>
      <c r="D45" s="41"/>
      <c r="E45" s="232"/>
      <c r="F45" s="81"/>
      <c r="G45" s="213"/>
      <c r="H45" s="81"/>
      <c r="I45" s="26"/>
      <c r="J45" s="22"/>
      <c r="M45" s="30"/>
      <c r="N45" s="30"/>
      <c r="O45" s="30"/>
      <c r="Q45" s="82"/>
    </row>
    <row r="46" spans="1:17" s="7" customFormat="1">
      <c r="A46" s="8"/>
      <c r="B46" s="52"/>
      <c r="C46" s="41"/>
      <c r="D46" s="41"/>
      <c r="E46" s="231"/>
      <c r="F46" s="41"/>
      <c r="G46" s="97"/>
      <c r="H46" s="41"/>
      <c r="I46" s="26"/>
      <c r="J46" s="22"/>
      <c r="M46" s="30"/>
      <c r="N46" s="30"/>
      <c r="O46" s="30"/>
      <c r="Q46" s="82"/>
    </row>
    <row r="47" spans="1:17" s="7" customFormat="1" ht="38.25">
      <c r="A47" s="12" t="s">
        <v>5</v>
      </c>
      <c r="B47" s="52" t="s">
        <v>6</v>
      </c>
      <c r="C47" s="41"/>
      <c r="D47" s="41"/>
      <c r="E47" s="231"/>
      <c r="F47" s="41"/>
      <c r="G47" s="97"/>
      <c r="I47" s="26"/>
      <c r="J47" s="22"/>
      <c r="M47" s="30"/>
      <c r="N47" s="30"/>
      <c r="O47" s="30"/>
      <c r="Q47" s="82"/>
    </row>
    <row r="48" spans="1:17" s="7" customFormat="1">
      <c r="A48" s="20"/>
      <c r="B48" s="52"/>
      <c r="C48" s="59"/>
      <c r="D48" s="59"/>
      <c r="E48" s="233"/>
      <c r="F48" s="59"/>
      <c r="G48" s="104"/>
      <c r="H48" s="19"/>
      <c r="I48" s="26"/>
      <c r="J48" s="22"/>
      <c r="M48" s="30"/>
      <c r="N48" s="30"/>
      <c r="O48" s="30"/>
      <c r="Q48" s="87"/>
    </row>
    <row r="49" spans="1:17" s="7" customFormat="1">
      <c r="A49" s="8"/>
      <c r="B49" s="52" t="s">
        <v>29</v>
      </c>
      <c r="C49" s="214">
        <v>1</v>
      </c>
      <c r="D49" s="41"/>
      <c r="E49" s="232"/>
      <c r="F49" s="81"/>
      <c r="G49" s="213"/>
      <c r="H49" s="81"/>
      <c r="I49" s="26"/>
      <c r="J49" s="22"/>
      <c r="M49" s="30"/>
      <c r="N49" s="30"/>
      <c r="O49" s="30"/>
      <c r="Q49" s="82"/>
    </row>
    <row r="50" spans="1:17" s="7" customFormat="1">
      <c r="A50" s="8"/>
      <c r="B50" s="52"/>
      <c r="C50" s="41"/>
      <c r="D50" s="41"/>
      <c r="E50" s="231"/>
      <c r="F50" s="41"/>
      <c r="G50" s="97"/>
      <c r="H50" s="41"/>
      <c r="I50" s="26"/>
      <c r="J50" s="22"/>
      <c r="M50" s="30"/>
      <c r="N50" s="30"/>
      <c r="O50" s="30"/>
      <c r="Q50" s="82"/>
    </row>
    <row r="51" spans="1:17" s="19" customFormat="1" ht="48" customHeight="1">
      <c r="A51" s="12" t="s">
        <v>75</v>
      </c>
      <c r="B51" s="52" t="s">
        <v>136</v>
      </c>
      <c r="C51" s="41"/>
      <c r="D51" s="41"/>
      <c r="E51" s="231"/>
      <c r="F51" s="41"/>
      <c r="G51" s="97"/>
      <c r="H51" s="7"/>
      <c r="I51" s="28"/>
      <c r="J51" s="24"/>
      <c r="M51" s="32"/>
      <c r="N51" s="32"/>
      <c r="O51" s="32"/>
      <c r="Q51" s="82"/>
    </row>
    <row r="52" spans="1:17" s="7" customFormat="1">
      <c r="A52" s="20"/>
      <c r="B52" s="52"/>
      <c r="C52" s="59"/>
      <c r="D52" s="59"/>
      <c r="E52" s="233"/>
      <c r="F52" s="59"/>
      <c r="G52" s="104"/>
      <c r="H52" s="19"/>
      <c r="I52" s="26"/>
      <c r="J52" s="22"/>
      <c r="M52" s="30"/>
      <c r="N52" s="30"/>
      <c r="O52" s="30"/>
      <c r="Q52" s="87"/>
    </row>
    <row r="53" spans="1:17" s="7" customFormat="1">
      <c r="A53" s="8"/>
      <c r="B53" s="52" t="s">
        <v>23</v>
      </c>
      <c r="C53" s="214">
        <v>1</v>
      </c>
      <c r="D53" s="41"/>
      <c r="E53" s="232"/>
      <c r="F53" s="81"/>
      <c r="G53" s="213"/>
      <c r="H53" s="81"/>
      <c r="I53" s="26"/>
      <c r="J53" s="22"/>
      <c r="M53" s="30"/>
      <c r="N53" s="30"/>
      <c r="O53" s="30"/>
      <c r="Q53" s="82"/>
    </row>
    <row r="54" spans="1:17" s="7" customFormat="1">
      <c r="A54" s="8"/>
      <c r="B54" s="52"/>
      <c r="C54" s="41"/>
      <c r="D54" s="41"/>
      <c r="E54" s="231"/>
      <c r="F54" s="81"/>
      <c r="G54" s="97"/>
      <c r="H54" s="81"/>
      <c r="I54" s="26"/>
      <c r="J54" s="22"/>
      <c r="M54" s="30"/>
      <c r="N54" s="30"/>
      <c r="O54" s="30"/>
      <c r="Q54" s="82"/>
    </row>
    <row r="55" spans="1:17" s="19" customFormat="1" ht="34.5" customHeight="1">
      <c r="A55" s="12" t="s">
        <v>137</v>
      </c>
      <c r="B55" s="52" t="s">
        <v>138</v>
      </c>
      <c r="C55" s="41"/>
      <c r="D55" s="41"/>
      <c r="E55" s="231"/>
      <c r="F55" s="41"/>
      <c r="G55" s="97"/>
      <c r="H55" s="7"/>
      <c r="I55" s="28"/>
      <c r="J55" s="24"/>
      <c r="M55" s="32"/>
      <c r="N55" s="32"/>
      <c r="O55" s="32"/>
      <c r="Q55" s="82"/>
    </row>
    <row r="56" spans="1:17" s="7" customFormat="1">
      <c r="A56" s="20"/>
      <c r="B56" s="52"/>
      <c r="C56" s="59"/>
      <c r="D56" s="59"/>
      <c r="E56" s="233"/>
      <c r="F56" s="59"/>
      <c r="G56" s="104"/>
      <c r="H56" s="19"/>
      <c r="I56" s="26"/>
      <c r="J56" s="22"/>
      <c r="M56" s="30"/>
      <c r="N56" s="30"/>
      <c r="O56" s="30"/>
      <c r="Q56" s="87"/>
    </row>
    <row r="57" spans="1:17" s="7" customFormat="1">
      <c r="A57" s="8"/>
      <c r="B57" s="52" t="s">
        <v>71</v>
      </c>
      <c r="C57" s="214">
        <v>169.5</v>
      </c>
      <c r="D57" s="41"/>
      <c r="E57" s="232"/>
      <c r="F57" s="81"/>
      <c r="G57" s="213"/>
      <c r="H57" s="81"/>
      <c r="I57" s="26"/>
      <c r="J57" s="22"/>
      <c r="M57" s="30"/>
      <c r="N57" s="30"/>
      <c r="O57" s="30"/>
      <c r="Q57" s="82"/>
    </row>
    <row r="58" spans="1:17" s="7" customFormat="1">
      <c r="A58" s="8"/>
      <c r="B58" s="52"/>
      <c r="C58" s="207" t="s">
        <v>170</v>
      </c>
      <c r="D58" s="203"/>
      <c r="E58" s="235" t="s">
        <v>171</v>
      </c>
      <c r="F58" s="203"/>
      <c r="G58" s="208" t="s">
        <v>164</v>
      </c>
      <c r="H58" s="41"/>
      <c r="I58" s="26"/>
      <c r="J58" s="22"/>
      <c r="M58" s="30"/>
      <c r="N58" s="30"/>
      <c r="O58" s="30"/>
      <c r="Q58" s="82"/>
    </row>
    <row r="59" spans="1:17" s="7" customFormat="1" ht="86.25" customHeight="1">
      <c r="A59" s="12" t="s">
        <v>54</v>
      </c>
      <c r="B59" s="52" t="s">
        <v>190</v>
      </c>
      <c r="C59" s="41"/>
      <c r="D59" s="41"/>
      <c r="E59" s="231"/>
      <c r="F59" s="41"/>
      <c r="G59" s="97"/>
      <c r="I59" s="26"/>
      <c r="J59" s="22"/>
      <c r="M59" s="30"/>
      <c r="N59" s="30"/>
      <c r="O59" s="30"/>
      <c r="Q59" s="82"/>
    </row>
    <row r="60" spans="1:17" s="7" customFormat="1" ht="44.25" customHeight="1">
      <c r="A60" s="8"/>
      <c r="B60" s="52" t="s">
        <v>116</v>
      </c>
      <c r="C60" s="214">
        <v>1</v>
      </c>
      <c r="D60" s="41"/>
      <c r="E60" s="232"/>
      <c r="F60" s="81"/>
      <c r="G60" s="213"/>
      <c r="H60" s="81"/>
      <c r="I60" s="26"/>
      <c r="J60" s="22"/>
      <c r="M60" s="30"/>
      <c r="N60" s="30"/>
      <c r="O60" s="30"/>
      <c r="Q60" s="82"/>
    </row>
    <row r="61" spans="1:17" s="7" customFormat="1" ht="15.95" customHeight="1">
      <c r="A61" s="8"/>
      <c r="B61" s="52"/>
      <c r="C61" s="41"/>
      <c r="D61" s="41"/>
      <c r="E61" s="231"/>
      <c r="F61" s="41"/>
      <c r="G61" s="97"/>
      <c r="I61" s="26"/>
      <c r="J61" s="22"/>
      <c r="M61" s="30"/>
      <c r="N61" s="30"/>
      <c r="O61" s="30"/>
      <c r="Q61" s="82"/>
    </row>
    <row r="62" spans="1:17" s="7" customFormat="1" ht="15.95" customHeight="1">
      <c r="A62" s="12" t="s">
        <v>61</v>
      </c>
      <c r="B62" s="52" t="s">
        <v>62</v>
      </c>
      <c r="C62" s="41"/>
      <c r="D62" s="41"/>
      <c r="E62" s="231"/>
      <c r="F62" s="41"/>
      <c r="G62" s="97"/>
      <c r="I62" s="26"/>
      <c r="J62" s="22"/>
      <c r="M62" s="30"/>
      <c r="N62" s="30"/>
      <c r="O62" s="30"/>
      <c r="Q62" s="82"/>
    </row>
    <row r="63" spans="1:17" s="7" customFormat="1" ht="15.95" customHeight="1">
      <c r="A63" s="20"/>
      <c r="B63" s="52"/>
      <c r="C63" s="59"/>
      <c r="D63" s="59"/>
      <c r="E63" s="233"/>
      <c r="F63" s="59"/>
      <c r="G63" s="104"/>
      <c r="H63" s="19"/>
      <c r="I63" s="26"/>
      <c r="J63" s="22"/>
      <c r="M63" s="30"/>
      <c r="N63" s="30"/>
      <c r="O63" s="30"/>
      <c r="Q63" s="87"/>
    </row>
    <row r="64" spans="1:17" s="7" customFormat="1" ht="15.95" customHeight="1">
      <c r="A64" s="8"/>
      <c r="B64" s="52" t="s">
        <v>41</v>
      </c>
      <c r="C64" s="214">
        <v>4.5</v>
      </c>
      <c r="D64" s="41"/>
      <c r="E64" s="232"/>
      <c r="F64" s="81"/>
      <c r="G64" s="213"/>
      <c r="H64" s="81"/>
      <c r="I64" s="26"/>
      <c r="J64" s="22"/>
      <c r="M64" s="30"/>
      <c r="N64" s="30"/>
      <c r="O64" s="30"/>
      <c r="Q64" s="82"/>
    </row>
    <row r="65" spans="1:17" s="7" customFormat="1" ht="15.95" customHeight="1">
      <c r="A65" s="8"/>
      <c r="B65" s="52"/>
      <c r="C65" s="41"/>
      <c r="D65" s="41"/>
      <c r="E65" s="231"/>
      <c r="F65" s="41"/>
      <c r="G65" s="97"/>
      <c r="H65" s="41"/>
      <c r="I65" s="26"/>
      <c r="J65" s="22"/>
      <c r="M65" s="30"/>
      <c r="N65" s="30"/>
      <c r="O65" s="30"/>
      <c r="Q65" s="82"/>
    </row>
    <row r="66" spans="1:17" s="7" customFormat="1" ht="89.25" customHeight="1">
      <c r="A66" s="12" t="s">
        <v>73</v>
      </c>
      <c r="B66" s="52" t="s">
        <v>135</v>
      </c>
      <c r="C66" s="41"/>
      <c r="D66" s="41"/>
      <c r="E66" s="231"/>
      <c r="F66" s="41"/>
      <c r="G66" s="97"/>
      <c r="I66" s="26"/>
      <c r="J66" s="22"/>
      <c r="M66" s="30"/>
      <c r="N66" s="30"/>
      <c r="O66" s="30"/>
      <c r="Q66" s="82"/>
    </row>
    <row r="67" spans="1:17" s="7" customFormat="1" ht="15.95" customHeight="1">
      <c r="A67" s="20"/>
      <c r="B67" s="52"/>
      <c r="C67" s="59"/>
      <c r="D67" s="59"/>
      <c r="E67" s="233"/>
      <c r="F67" s="59"/>
      <c r="G67" s="104"/>
      <c r="H67" s="19"/>
      <c r="I67" s="26"/>
      <c r="J67" s="22"/>
      <c r="M67" s="30"/>
      <c r="N67" s="30"/>
      <c r="O67" s="30"/>
      <c r="Q67" s="87"/>
    </row>
    <row r="68" spans="1:17" s="7" customFormat="1" ht="15.95" customHeight="1">
      <c r="A68" s="8"/>
      <c r="B68" s="52" t="s">
        <v>23</v>
      </c>
      <c r="C68" s="214">
        <v>1</v>
      </c>
      <c r="D68" s="41"/>
      <c r="E68" s="232"/>
      <c r="F68" s="81"/>
      <c r="G68" s="213"/>
      <c r="H68" s="81"/>
      <c r="I68" s="26"/>
      <c r="J68" s="22"/>
      <c r="M68" s="30"/>
      <c r="N68" s="30"/>
      <c r="O68" s="30"/>
      <c r="Q68" s="82"/>
    </row>
    <row r="69" spans="1:17" s="7" customFormat="1" ht="15.95" customHeight="1">
      <c r="A69" s="8"/>
      <c r="B69" s="52"/>
      <c r="C69" s="41"/>
      <c r="D69" s="41"/>
      <c r="E69" s="231"/>
      <c r="F69" s="41"/>
      <c r="G69" s="97"/>
      <c r="H69" s="41"/>
      <c r="I69" s="26"/>
      <c r="J69" s="22"/>
      <c r="M69" s="30"/>
      <c r="N69" s="30"/>
      <c r="O69" s="30"/>
      <c r="Q69" s="82"/>
    </row>
    <row r="70" spans="1:17" s="7" customFormat="1" ht="33.950000000000003" customHeight="1">
      <c r="A70" s="12" t="s">
        <v>74</v>
      </c>
      <c r="B70" s="52" t="s">
        <v>10</v>
      </c>
      <c r="C70" s="41"/>
      <c r="D70" s="41"/>
      <c r="E70" s="231"/>
      <c r="F70" s="41"/>
      <c r="G70" s="97"/>
      <c r="I70" s="26"/>
      <c r="J70" s="22"/>
      <c r="M70" s="30"/>
      <c r="N70" s="30"/>
      <c r="O70" s="30"/>
      <c r="Q70" s="82"/>
    </row>
    <row r="71" spans="1:17" s="7" customFormat="1" ht="15.95" customHeight="1">
      <c r="A71" s="20"/>
      <c r="B71" s="52"/>
      <c r="C71" s="59"/>
      <c r="D71" s="59"/>
      <c r="E71" s="233"/>
      <c r="F71" s="59"/>
      <c r="G71" s="104"/>
      <c r="H71" s="19"/>
      <c r="I71" s="26"/>
      <c r="J71" s="22"/>
      <c r="M71" s="30"/>
      <c r="N71" s="30"/>
      <c r="O71" s="30"/>
      <c r="Q71" s="87"/>
    </row>
    <row r="72" spans="1:17" s="7" customFormat="1" ht="15.95" customHeight="1">
      <c r="A72" s="8"/>
      <c r="B72" s="52" t="s">
        <v>23</v>
      </c>
      <c r="C72" s="214">
        <v>1</v>
      </c>
      <c r="D72" s="41"/>
      <c r="E72" s="232"/>
      <c r="F72" s="81"/>
      <c r="G72" s="213"/>
      <c r="H72" s="81"/>
      <c r="I72" s="26"/>
      <c r="J72" s="22"/>
      <c r="M72" s="30"/>
      <c r="N72" s="30"/>
      <c r="O72" s="30"/>
      <c r="Q72" s="82"/>
    </row>
    <row r="73" spans="1:17" s="7" customFormat="1" ht="15.95" customHeight="1">
      <c r="A73" s="8"/>
      <c r="B73" s="52"/>
      <c r="C73" s="41"/>
      <c r="D73" s="41"/>
      <c r="E73" s="231"/>
      <c r="F73" s="41"/>
      <c r="G73" s="97"/>
      <c r="I73" s="26"/>
      <c r="J73" s="22"/>
      <c r="M73" s="30"/>
      <c r="N73" s="30"/>
      <c r="O73" s="30"/>
      <c r="Q73" s="82"/>
    </row>
    <row r="74" spans="1:17" s="7" customFormat="1" ht="31.5">
      <c r="A74" s="11"/>
      <c r="B74" s="60" t="s">
        <v>43</v>
      </c>
      <c r="C74" s="49"/>
      <c r="D74" s="49"/>
      <c r="E74" s="236"/>
      <c r="F74" s="49"/>
      <c r="G74" s="209"/>
      <c r="H74" s="49"/>
      <c r="I74" s="118"/>
      <c r="J74" s="22"/>
      <c r="M74" s="30"/>
      <c r="N74" s="30"/>
      <c r="O74" s="30"/>
      <c r="Q74" s="84"/>
    </row>
    <row r="75" spans="1:17" s="7" customFormat="1">
      <c r="A75" s="11"/>
      <c r="B75" s="60"/>
      <c r="C75" s="49"/>
      <c r="D75" s="49"/>
      <c r="E75" s="236"/>
      <c r="F75" s="49"/>
      <c r="G75" s="100"/>
      <c r="H75" s="49"/>
      <c r="I75" s="26"/>
      <c r="J75" s="22"/>
      <c r="M75" s="30"/>
      <c r="N75" s="30"/>
      <c r="O75" s="30"/>
      <c r="Q75" s="84"/>
    </row>
    <row r="76" spans="1:17" s="7" customFormat="1">
      <c r="A76" s="11" t="s">
        <v>32</v>
      </c>
      <c r="B76" s="9" t="s">
        <v>17</v>
      </c>
      <c r="C76" s="46"/>
      <c r="E76" s="237"/>
      <c r="G76" s="99"/>
      <c r="I76" s="26"/>
      <c r="J76" s="22"/>
      <c r="M76" s="30"/>
      <c r="N76" s="30"/>
      <c r="O76" s="30"/>
      <c r="Q76" s="91"/>
    </row>
    <row r="77" spans="1:17" s="7" customFormat="1">
      <c r="A77" s="11"/>
      <c r="B77" s="9"/>
      <c r="C77" s="46"/>
      <c r="E77" s="237"/>
      <c r="G77" s="99"/>
      <c r="I77" s="26"/>
      <c r="J77" s="22"/>
      <c r="M77" s="30"/>
      <c r="N77" s="30"/>
      <c r="O77" s="30"/>
      <c r="Q77" s="91"/>
    </row>
    <row r="78" spans="1:17" s="64" customFormat="1" ht="64.5" customHeight="1">
      <c r="A78" s="12" t="s">
        <v>33</v>
      </c>
      <c r="B78" s="52" t="s">
        <v>134</v>
      </c>
      <c r="C78" s="41"/>
      <c r="D78" s="41"/>
      <c r="E78" s="231"/>
      <c r="F78" s="41"/>
      <c r="G78" s="97"/>
      <c r="H78" s="61"/>
      <c r="I78" s="62"/>
      <c r="J78" s="63"/>
      <c r="M78" s="65"/>
      <c r="N78" s="65"/>
      <c r="O78" s="65"/>
      <c r="Q78" s="82"/>
    </row>
    <row r="79" spans="1:17">
      <c r="A79" s="18"/>
      <c r="B79" s="52"/>
      <c r="C79" s="59"/>
      <c r="D79" s="59"/>
      <c r="E79" s="233"/>
      <c r="F79" s="59"/>
      <c r="G79" s="104"/>
      <c r="H79" s="64"/>
      <c r="Q79" s="87"/>
    </row>
    <row r="80" spans="1:17">
      <c r="B80" s="52" t="s">
        <v>20</v>
      </c>
      <c r="C80" s="214">
        <v>38.4</v>
      </c>
      <c r="E80" s="230"/>
      <c r="F80" s="81"/>
      <c r="G80" s="213"/>
      <c r="H80" s="81"/>
    </row>
    <row r="81" spans="1:10">
      <c r="B81" s="52"/>
      <c r="E81" s="231"/>
      <c r="H81" s="61"/>
    </row>
    <row r="82" spans="1:10" ht="69" customHeight="1">
      <c r="A82" s="43" t="s">
        <v>34</v>
      </c>
      <c r="B82" s="52" t="s">
        <v>133</v>
      </c>
      <c r="E82" s="231"/>
      <c r="H82" s="61"/>
      <c r="J82" s="52"/>
    </row>
    <row r="83" spans="1:10">
      <c r="B83" s="52"/>
      <c r="E83" s="231"/>
      <c r="H83" s="61"/>
    </row>
    <row r="84" spans="1:10">
      <c r="B84" s="52" t="s">
        <v>25</v>
      </c>
      <c r="C84" s="214">
        <f>4.545/0.09</f>
        <v>50.5</v>
      </c>
      <c r="E84" s="232"/>
      <c r="F84" s="81"/>
      <c r="G84" s="213"/>
      <c r="H84" s="81"/>
    </row>
    <row r="85" spans="1:10">
      <c r="B85" s="52"/>
      <c r="C85" s="207" t="s">
        <v>170</v>
      </c>
      <c r="D85" s="203"/>
      <c r="E85" s="235" t="s">
        <v>171</v>
      </c>
      <c r="F85" s="203"/>
      <c r="G85" s="208" t="s">
        <v>164</v>
      </c>
      <c r="H85" s="61"/>
    </row>
    <row r="86" spans="1:10" ht="57.75" customHeight="1">
      <c r="A86" s="43" t="s">
        <v>69</v>
      </c>
      <c r="B86" s="52" t="s">
        <v>86</v>
      </c>
      <c r="E86" s="231"/>
      <c r="H86" s="61"/>
    </row>
    <row r="87" spans="1:10">
      <c r="B87" s="52"/>
      <c r="E87" s="231"/>
      <c r="H87" s="61"/>
    </row>
    <row r="88" spans="1:10">
      <c r="B88" s="52" t="s">
        <v>22</v>
      </c>
      <c r="C88" s="214">
        <v>10</v>
      </c>
      <c r="E88" s="232"/>
      <c r="F88" s="81"/>
      <c r="G88" s="213"/>
      <c r="H88" s="81"/>
    </row>
    <row r="89" spans="1:10">
      <c r="B89" s="52"/>
      <c r="E89" s="231"/>
      <c r="H89" s="61"/>
    </row>
    <row r="90" spans="1:10" ht="69" customHeight="1">
      <c r="A90" s="43" t="s">
        <v>36</v>
      </c>
      <c r="B90" s="52" t="s">
        <v>88</v>
      </c>
      <c r="E90" s="231"/>
      <c r="H90" s="61"/>
    </row>
    <row r="91" spans="1:10">
      <c r="B91" s="52"/>
      <c r="E91" s="231"/>
      <c r="H91" s="61"/>
    </row>
    <row r="92" spans="1:10" ht="25.5">
      <c r="B92" s="52" t="s">
        <v>141</v>
      </c>
      <c r="E92" s="231"/>
      <c r="H92" s="61"/>
    </row>
    <row r="93" spans="1:10">
      <c r="B93" s="52" t="s">
        <v>20</v>
      </c>
      <c r="C93" s="214">
        <f>500.69*0.8</f>
        <v>400.55200000000002</v>
      </c>
      <c r="E93" s="230"/>
      <c r="F93" s="81"/>
      <c r="G93" s="213"/>
      <c r="H93" s="81"/>
    </row>
    <row r="94" spans="1:10">
      <c r="B94" s="52"/>
      <c r="E94" s="231"/>
      <c r="H94" s="41"/>
      <c r="J94" s="36"/>
    </row>
    <row r="95" spans="1:10">
      <c r="B95" s="52" t="s">
        <v>142</v>
      </c>
      <c r="E95" s="231"/>
      <c r="H95" s="61"/>
    </row>
    <row r="96" spans="1:10">
      <c r="B96" s="52" t="s">
        <v>20</v>
      </c>
      <c r="C96" s="214">
        <f>500.69*0.2</f>
        <v>100.13800000000001</v>
      </c>
      <c r="E96" s="232"/>
      <c r="F96" s="81"/>
      <c r="G96" s="213"/>
      <c r="H96" s="81"/>
    </row>
    <row r="97" spans="1:17">
      <c r="B97" s="52"/>
      <c r="E97" s="231"/>
      <c r="H97" s="61"/>
    </row>
    <row r="98" spans="1:17" ht="67.5" customHeight="1">
      <c r="A98" s="43" t="s">
        <v>37</v>
      </c>
      <c r="B98" s="52" t="s">
        <v>89</v>
      </c>
      <c r="E98" s="231"/>
      <c r="H98" s="61"/>
    </row>
    <row r="99" spans="1:17">
      <c r="B99" s="52"/>
      <c r="E99" s="231"/>
      <c r="H99" s="61"/>
    </row>
    <row r="100" spans="1:17" ht="25.5">
      <c r="B100" s="52" t="s">
        <v>141</v>
      </c>
      <c r="E100" s="231"/>
      <c r="H100" s="61"/>
    </row>
    <row r="101" spans="1:17">
      <c r="B101" s="52" t="s">
        <v>20</v>
      </c>
      <c r="C101" s="214">
        <f>77.03*0.8</f>
        <v>61.624000000000002</v>
      </c>
      <c r="E101" s="238"/>
      <c r="F101" s="81"/>
      <c r="G101" s="213"/>
      <c r="H101" s="81"/>
    </row>
    <row r="102" spans="1:17">
      <c r="B102" s="52"/>
      <c r="E102" s="231"/>
      <c r="H102" s="41"/>
      <c r="J102" s="36"/>
    </row>
    <row r="103" spans="1:17">
      <c r="B103" s="52" t="s">
        <v>142</v>
      </c>
      <c r="E103" s="231"/>
      <c r="H103" s="61"/>
    </row>
    <row r="104" spans="1:17">
      <c r="B104" s="52" t="s">
        <v>20</v>
      </c>
      <c r="C104" s="214">
        <f>77.03*0.2</f>
        <v>15.406000000000001</v>
      </c>
      <c r="E104" s="230"/>
      <c r="F104" s="81"/>
      <c r="G104" s="213"/>
      <c r="H104" s="81"/>
    </row>
    <row r="105" spans="1:17" s="68" customFormat="1">
      <c r="A105" s="69"/>
      <c r="B105" s="70"/>
      <c r="C105" s="66"/>
      <c r="D105" s="66"/>
      <c r="E105" s="231"/>
      <c r="F105" s="66"/>
      <c r="G105" s="97"/>
      <c r="H105" s="67"/>
      <c r="Q105" s="88"/>
    </row>
    <row r="106" spans="1:17" s="64" customFormat="1" ht="42" customHeight="1">
      <c r="A106" s="43" t="s">
        <v>45</v>
      </c>
      <c r="B106" s="52" t="s">
        <v>38</v>
      </c>
      <c r="C106" s="41"/>
      <c r="D106" s="41"/>
      <c r="E106" s="231"/>
      <c r="F106" s="41"/>
      <c r="G106" s="97"/>
      <c r="H106" s="61"/>
      <c r="I106" s="62"/>
      <c r="J106" s="63"/>
      <c r="M106" s="65"/>
      <c r="N106" s="65"/>
      <c r="O106" s="65"/>
      <c r="Q106" s="82"/>
    </row>
    <row r="107" spans="1:17">
      <c r="B107" s="52"/>
      <c r="C107" s="59"/>
      <c r="D107" s="59"/>
      <c r="E107" s="231"/>
      <c r="F107" s="59"/>
      <c r="G107" s="104"/>
      <c r="H107" s="64"/>
      <c r="Q107" s="87"/>
    </row>
    <row r="108" spans="1:17">
      <c r="B108" s="52" t="s">
        <v>25</v>
      </c>
      <c r="C108" s="214">
        <f>C41*0.75</f>
        <v>127.5</v>
      </c>
      <c r="E108" s="232"/>
      <c r="G108" s="213"/>
      <c r="H108" s="41"/>
    </row>
    <row r="109" spans="1:17">
      <c r="B109" s="52"/>
      <c r="E109" s="231"/>
      <c r="H109" s="61"/>
    </row>
    <row r="110" spans="1:17" s="64" customFormat="1" ht="147.75" customHeight="1">
      <c r="A110" s="43" t="s">
        <v>46</v>
      </c>
      <c r="B110" s="52" t="s">
        <v>90</v>
      </c>
      <c r="C110" s="41"/>
      <c r="D110" s="41"/>
      <c r="E110" s="231"/>
      <c r="F110" s="41"/>
      <c r="G110" s="97"/>
      <c r="H110" s="61"/>
      <c r="I110" s="62"/>
      <c r="J110" s="63"/>
      <c r="M110" s="65"/>
      <c r="N110" s="65"/>
      <c r="O110" s="65"/>
      <c r="Q110" s="82"/>
    </row>
    <row r="111" spans="1:17">
      <c r="A111" s="71"/>
      <c r="B111" s="52"/>
      <c r="C111" s="59"/>
      <c r="D111" s="59"/>
      <c r="E111" s="231"/>
      <c r="F111" s="59"/>
      <c r="G111" s="104"/>
      <c r="H111" s="64"/>
      <c r="Q111" s="87"/>
    </row>
    <row r="112" spans="1:17">
      <c r="B112" s="52" t="s">
        <v>20</v>
      </c>
      <c r="C112" s="214">
        <v>25.75</v>
      </c>
      <c r="E112" s="232"/>
      <c r="G112" s="213"/>
      <c r="H112" s="41"/>
    </row>
    <row r="113" spans="1:17">
      <c r="B113" s="52"/>
      <c r="C113" s="207" t="s">
        <v>170</v>
      </c>
      <c r="D113" s="203"/>
      <c r="E113" s="235" t="s">
        <v>171</v>
      </c>
      <c r="F113" s="203"/>
      <c r="G113" s="208" t="s">
        <v>164</v>
      </c>
      <c r="H113" s="61"/>
    </row>
    <row r="114" spans="1:17" s="64" customFormat="1" ht="120" customHeight="1">
      <c r="A114" s="43" t="s">
        <v>47</v>
      </c>
      <c r="B114" s="52" t="s">
        <v>132</v>
      </c>
      <c r="C114" s="41"/>
      <c r="D114" s="41"/>
      <c r="E114" s="231"/>
      <c r="F114" s="41"/>
      <c r="G114" s="97"/>
      <c r="H114" s="61"/>
      <c r="I114" s="62"/>
      <c r="J114" s="63"/>
      <c r="M114" s="65"/>
      <c r="N114" s="65"/>
      <c r="O114" s="65"/>
      <c r="Q114" s="82"/>
    </row>
    <row r="115" spans="1:17">
      <c r="A115" s="71"/>
      <c r="B115" s="52"/>
      <c r="C115" s="59"/>
      <c r="D115" s="59"/>
      <c r="E115" s="231"/>
      <c r="F115" s="59"/>
      <c r="G115" s="104"/>
      <c r="H115" s="64"/>
      <c r="Q115" s="87"/>
    </row>
    <row r="116" spans="1:17">
      <c r="B116" s="52" t="s">
        <v>20</v>
      </c>
      <c r="C116" s="214">
        <v>83.8</v>
      </c>
      <c r="E116" s="232"/>
      <c r="G116" s="213"/>
      <c r="H116" s="41"/>
    </row>
    <row r="117" spans="1:17">
      <c r="B117" s="52"/>
      <c r="E117" s="231"/>
      <c r="H117" s="61"/>
    </row>
    <row r="118" spans="1:17" ht="96" customHeight="1">
      <c r="A118" s="43" t="s">
        <v>48</v>
      </c>
      <c r="B118" s="52" t="s">
        <v>91</v>
      </c>
      <c r="E118" s="231"/>
      <c r="H118" s="61"/>
    </row>
    <row r="119" spans="1:17">
      <c r="A119" s="71"/>
      <c r="B119" s="52"/>
      <c r="E119" s="231"/>
      <c r="H119" s="61"/>
    </row>
    <row r="120" spans="1:17">
      <c r="B120" s="52" t="s">
        <v>20</v>
      </c>
      <c r="C120" s="214">
        <f>437.75*0.36</f>
        <v>157.59</v>
      </c>
      <c r="E120" s="232"/>
      <c r="G120" s="213"/>
      <c r="H120" s="41"/>
    </row>
    <row r="121" spans="1:17">
      <c r="B121" s="52"/>
      <c r="E121" s="231"/>
      <c r="H121" s="61"/>
    </row>
    <row r="122" spans="1:17" s="64" customFormat="1" ht="38.25">
      <c r="A122" s="43" t="s">
        <v>49</v>
      </c>
      <c r="B122" s="52" t="s">
        <v>92</v>
      </c>
      <c r="C122" s="41"/>
      <c r="D122" s="41"/>
      <c r="E122" s="231"/>
      <c r="F122" s="41"/>
      <c r="G122" s="97"/>
      <c r="H122" s="61"/>
      <c r="Q122" s="82"/>
    </row>
    <row r="123" spans="1:17">
      <c r="A123" s="71"/>
      <c r="B123" s="52"/>
      <c r="C123" s="59"/>
      <c r="D123" s="59"/>
      <c r="E123" s="231"/>
      <c r="F123" s="59"/>
      <c r="G123" s="104"/>
      <c r="H123" s="64"/>
      <c r="I123" s="38"/>
      <c r="J123" s="38"/>
      <c r="M123" s="38"/>
      <c r="N123" s="38"/>
      <c r="O123" s="38"/>
      <c r="Q123" s="87"/>
    </row>
    <row r="124" spans="1:17">
      <c r="B124" s="52" t="s">
        <v>20</v>
      </c>
      <c r="C124" s="214">
        <f>437.75*0.64</f>
        <v>280.16000000000003</v>
      </c>
      <c r="E124" s="232"/>
      <c r="G124" s="213"/>
      <c r="H124" s="41"/>
      <c r="I124" s="38"/>
      <c r="J124" s="38"/>
      <c r="M124" s="38"/>
      <c r="N124" s="38"/>
      <c r="O124" s="38"/>
    </row>
    <row r="125" spans="1:17">
      <c r="B125" s="52"/>
      <c r="E125" s="231"/>
      <c r="H125" s="61"/>
      <c r="I125" s="38"/>
      <c r="J125" s="38"/>
      <c r="M125" s="38"/>
      <c r="N125" s="38"/>
      <c r="O125" s="38"/>
    </row>
    <row r="126" spans="1:17" ht="114.75">
      <c r="A126" s="43" t="s">
        <v>50</v>
      </c>
      <c r="B126" s="52" t="s">
        <v>177</v>
      </c>
      <c r="E126" s="231"/>
      <c r="H126" s="61"/>
      <c r="K126" s="52"/>
    </row>
    <row r="127" spans="1:17">
      <c r="A127" s="71"/>
      <c r="B127" s="52"/>
      <c r="E127" s="231"/>
      <c r="H127" s="61"/>
    </row>
    <row r="128" spans="1:17">
      <c r="B128" s="52" t="s">
        <v>20</v>
      </c>
      <c r="C128" s="214">
        <v>21.2</v>
      </c>
      <c r="E128" s="232"/>
      <c r="G128" s="213"/>
      <c r="H128" s="41"/>
    </row>
    <row r="129" spans="1:11">
      <c r="B129" s="52"/>
      <c r="C129" s="207" t="s">
        <v>170</v>
      </c>
      <c r="D129" s="203"/>
      <c r="E129" s="235" t="s">
        <v>171</v>
      </c>
      <c r="F129" s="203"/>
      <c r="G129" s="208" t="s">
        <v>164</v>
      </c>
      <c r="H129" s="61"/>
    </row>
    <row r="130" spans="1:11" ht="324.75" customHeight="1">
      <c r="A130" s="43" t="s">
        <v>51</v>
      </c>
      <c r="B130" s="16" t="s">
        <v>168</v>
      </c>
      <c r="E130" s="231"/>
      <c r="H130" s="61"/>
    </row>
    <row r="131" spans="1:11">
      <c r="A131" s="71"/>
      <c r="B131" s="72"/>
      <c r="E131" s="231"/>
      <c r="H131" s="61"/>
    </row>
    <row r="132" spans="1:11">
      <c r="B132" s="52" t="s">
        <v>25</v>
      </c>
      <c r="C132" s="214">
        <f>C84</f>
        <v>50.5</v>
      </c>
      <c r="E132" s="230"/>
      <c r="G132" s="213"/>
      <c r="H132" s="41"/>
    </row>
    <row r="133" spans="1:11">
      <c r="B133" s="52"/>
      <c r="E133" s="231"/>
      <c r="H133" s="41"/>
    </row>
    <row r="134" spans="1:11" ht="55.7" customHeight="1">
      <c r="A134" s="43" t="s">
        <v>67</v>
      </c>
      <c r="B134" s="16" t="s">
        <v>249</v>
      </c>
      <c r="E134" s="231"/>
      <c r="H134" s="61"/>
    </row>
    <row r="135" spans="1:11">
      <c r="A135" s="71"/>
      <c r="B135" s="72"/>
      <c r="E135" s="231"/>
      <c r="H135" s="61"/>
    </row>
    <row r="136" spans="1:11">
      <c r="B136" s="52" t="s">
        <v>25</v>
      </c>
      <c r="C136" s="214">
        <v>126</v>
      </c>
      <c r="E136" s="232"/>
      <c r="G136" s="213"/>
      <c r="H136" s="41"/>
    </row>
    <row r="137" spans="1:11">
      <c r="B137" s="52"/>
      <c r="E137" s="231"/>
      <c r="H137" s="61"/>
    </row>
    <row r="138" spans="1:11" ht="55.7" customHeight="1">
      <c r="A138" s="43" t="s">
        <v>70</v>
      </c>
      <c r="B138" s="72" t="s">
        <v>94</v>
      </c>
      <c r="E138" s="231"/>
      <c r="H138" s="61"/>
    </row>
    <row r="139" spans="1:11">
      <c r="A139" s="71"/>
      <c r="B139" s="72"/>
      <c r="E139" s="231"/>
      <c r="H139" s="61"/>
    </row>
    <row r="140" spans="1:11">
      <c r="B140" s="52" t="s">
        <v>22</v>
      </c>
      <c r="C140" s="41">
        <f>C88</f>
        <v>10</v>
      </c>
      <c r="E140" s="232"/>
      <c r="G140" s="213"/>
      <c r="H140" s="41"/>
      <c r="I140" s="123"/>
    </row>
    <row r="141" spans="1:11">
      <c r="B141" s="52"/>
      <c r="E141" s="231"/>
      <c r="H141" s="61"/>
    </row>
    <row r="142" spans="1:11" ht="54" customHeight="1">
      <c r="A142" s="43" t="s">
        <v>63</v>
      </c>
      <c r="B142" s="72" t="s">
        <v>76</v>
      </c>
      <c r="E142" s="231"/>
      <c r="H142" s="61"/>
      <c r="K142" s="121"/>
    </row>
    <row r="143" spans="1:11">
      <c r="A143" s="71"/>
      <c r="B143" s="72"/>
      <c r="E143" s="231"/>
      <c r="H143" s="61"/>
    </row>
    <row r="144" spans="1:11">
      <c r="B144" s="52" t="s">
        <v>25</v>
      </c>
      <c r="C144" s="214">
        <f>1.81/0.05</f>
        <v>36.199999999999996</v>
      </c>
      <c r="E144" s="232"/>
      <c r="G144" s="213"/>
      <c r="H144" s="41"/>
    </row>
    <row r="145" spans="1:17">
      <c r="B145" s="52"/>
      <c r="C145" s="207" t="s">
        <v>170</v>
      </c>
      <c r="D145" s="203"/>
      <c r="E145" s="235" t="s">
        <v>171</v>
      </c>
      <c r="F145" s="203"/>
      <c r="G145" s="208" t="s">
        <v>164</v>
      </c>
      <c r="H145" s="61"/>
    </row>
    <row r="146" spans="1:17" ht="116.25">
      <c r="A146" s="43" t="s">
        <v>57</v>
      </c>
      <c r="B146" s="52" t="s">
        <v>96</v>
      </c>
      <c r="E146" s="231"/>
      <c r="H146" s="61"/>
    </row>
    <row r="147" spans="1:17">
      <c r="B147" s="52"/>
      <c r="E147" s="231"/>
      <c r="H147" s="61"/>
    </row>
    <row r="148" spans="1:17">
      <c r="B148" s="52" t="s">
        <v>20</v>
      </c>
      <c r="C148" s="214">
        <f>(577.71-C124)*1.3</f>
        <v>386.81500000000005</v>
      </c>
      <c r="E148" s="232"/>
      <c r="G148" s="213"/>
      <c r="H148" s="41"/>
    </row>
    <row r="149" spans="1:17">
      <c r="B149" s="52"/>
      <c r="E149" s="231"/>
      <c r="H149" s="61"/>
    </row>
    <row r="150" spans="1:17" ht="141.94999999999999" customHeight="1">
      <c r="A150" s="43" t="s">
        <v>58</v>
      </c>
      <c r="B150" s="52" t="s">
        <v>131</v>
      </c>
      <c r="E150" s="231"/>
      <c r="H150" s="61"/>
    </row>
    <row r="151" spans="1:17">
      <c r="B151" s="52"/>
      <c r="E151" s="231"/>
      <c r="H151" s="61"/>
    </row>
    <row r="152" spans="1:17">
      <c r="B152" s="52" t="s">
        <v>25</v>
      </c>
      <c r="C152" s="214">
        <f>C80/0.15</f>
        <v>256</v>
      </c>
      <c r="E152" s="232"/>
      <c r="G152" s="213"/>
      <c r="H152" s="41"/>
    </row>
    <row r="153" spans="1:17">
      <c r="B153" s="52"/>
      <c r="C153" s="38"/>
      <c r="D153" s="38"/>
      <c r="E153" s="243"/>
      <c r="F153" s="38"/>
      <c r="G153" s="38"/>
      <c r="H153" s="61"/>
    </row>
    <row r="154" spans="1:17" ht="55.7" customHeight="1">
      <c r="A154" s="43" t="s">
        <v>64</v>
      </c>
      <c r="B154" s="52" t="s">
        <v>97</v>
      </c>
      <c r="E154" s="231"/>
      <c r="H154" s="61"/>
    </row>
    <row r="155" spans="1:17">
      <c r="B155" s="52"/>
      <c r="E155" s="231"/>
      <c r="H155" s="61"/>
    </row>
    <row r="156" spans="1:17">
      <c r="B156" s="52" t="s">
        <v>41</v>
      </c>
      <c r="C156" s="214">
        <v>2</v>
      </c>
      <c r="E156" s="232"/>
      <c r="G156" s="213"/>
      <c r="H156" s="41"/>
    </row>
    <row r="157" spans="1:17">
      <c r="B157" s="52"/>
      <c r="E157" s="231"/>
      <c r="H157" s="61"/>
    </row>
    <row r="158" spans="1:17" s="64" customFormat="1" ht="63.75">
      <c r="A158" s="43" t="s">
        <v>65</v>
      </c>
      <c r="B158" s="52" t="s">
        <v>7</v>
      </c>
      <c r="C158" s="41"/>
      <c r="D158" s="41"/>
      <c r="E158" s="231"/>
      <c r="F158" s="41"/>
      <c r="G158" s="97"/>
      <c r="H158" s="61"/>
      <c r="I158" s="62"/>
      <c r="J158" s="63"/>
      <c r="M158" s="65"/>
      <c r="N158" s="65"/>
      <c r="O158" s="65"/>
      <c r="Q158" s="82"/>
    </row>
    <row r="159" spans="1:17">
      <c r="B159" s="52"/>
      <c r="C159" s="59"/>
      <c r="D159" s="59"/>
      <c r="E159" s="233"/>
      <c r="F159" s="59"/>
      <c r="G159" s="104"/>
      <c r="H159" s="64"/>
      <c r="Q159" s="87"/>
    </row>
    <row r="160" spans="1:17">
      <c r="B160" s="52" t="s">
        <v>39</v>
      </c>
      <c r="E160" s="231"/>
      <c r="G160" s="213"/>
      <c r="H160" s="41"/>
    </row>
    <row r="161" spans="1:17">
      <c r="B161" s="52"/>
      <c r="E161" s="231"/>
      <c r="H161" s="61"/>
    </row>
    <row r="162" spans="1:17" s="7" customFormat="1">
      <c r="A162" s="43"/>
      <c r="B162" s="60" t="s">
        <v>21</v>
      </c>
      <c r="C162" s="56"/>
      <c r="D162" s="56"/>
      <c r="E162" s="239"/>
      <c r="F162" s="56"/>
      <c r="G162" s="209"/>
      <c r="H162" s="49"/>
      <c r="I162" s="26"/>
      <c r="J162" s="22"/>
      <c r="M162" s="30"/>
      <c r="N162" s="30"/>
      <c r="O162" s="30"/>
      <c r="Q162" s="86"/>
    </row>
    <row r="163" spans="1:17" ht="15.95" customHeight="1">
      <c r="A163" s="47"/>
      <c r="B163" s="9"/>
      <c r="C163" s="207" t="s">
        <v>170</v>
      </c>
      <c r="D163" s="203"/>
      <c r="E163" s="235" t="s">
        <v>171</v>
      </c>
      <c r="F163" s="203"/>
      <c r="G163" s="208" t="s">
        <v>164</v>
      </c>
      <c r="Q163" s="86"/>
    </row>
    <row r="164" spans="1:17">
      <c r="A164" s="11" t="s">
        <v>42</v>
      </c>
      <c r="B164" s="9" t="s">
        <v>18</v>
      </c>
      <c r="C164" s="46"/>
      <c r="D164" s="7"/>
      <c r="E164" s="237"/>
      <c r="F164" s="7"/>
      <c r="G164" s="99"/>
      <c r="H164" s="7"/>
      <c r="Q164" s="91"/>
    </row>
    <row r="165" spans="1:17">
      <c r="A165" s="11"/>
      <c r="B165" s="9"/>
      <c r="C165" s="46"/>
      <c r="D165" s="7"/>
      <c r="E165" s="237"/>
      <c r="F165" s="7"/>
      <c r="G165" s="99"/>
      <c r="H165" s="7"/>
      <c r="Q165" s="91"/>
    </row>
    <row r="166" spans="1:17" ht="43.5" customHeight="1">
      <c r="A166" s="43" t="s">
        <v>112</v>
      </c>
      <c r="B166" s="73" t="s">
        <v>98</v>
      </c>
      <c r="E166" s="231"/>
      <c r="H166" s="61"/>
    </row>
    <row r="167" spans="1:17">
      <c r="B167" s="52"/>
      <c r="E167" s="231"/>
      <c r="H167" s="61"/>
    </row>
    <row r="168" spans="1:17">
      <c r="B168" s="52" t="s">
        <v>22</v>
      </c>
      <c r="C168" s="214">
        <v>169</v>
      </c>
      <c r="E168" s="232"/>
      <c r="G168" s="213"/>
      <c r="H168" s="41"/>
    </row>
    <row r="169" spans="1:17">
      <c r="B169" s="52"/>
      <c r="C169" s="120"/>
      <c r="E169" s="231"/>
      <c r="H169" s="41"/>
    </row>
    <row r="170" spans="1:17" ht="97.5" customHeight="1">
      <c r="A170" s="43" t="s">
        <v>78</v>
      </c>
      <c r="B170" s="73" t="s">
        <v>99</v>
      </c>
      <c r="E170" s="231"/>
      <c r="H170" s="61"/>
    </row>
    <row r="171" spans="1:17">
      <c r="B171" s="52"/>
      <c r="E171" s="231"/>
      <c r="H171" s="61"/>
    </row>
    <row r="172" spans="1:17">
      <c r="B172" s="52" t="s">
        <v>22</v>
      </c>
      <c r="C172" s="214">
        <v>169</v>
      </c>
      <c r="E172" s="230"/>
      <c r="G172" s="213"/>
      <c r="H172" s="41"/>
    </row>
    <row r="173" spans="1:17">
      <c r="B173" s="52"/>
      <c r="C173" s="66"/>
      <c r="E173" s="231"/>
      <c r="H173" s="61"/>
    </row>
    <row r="174" spans="1:17" ht="72" customHeight="1">
      <c r="A174" s="43" t="s">
        <v>60</v>
      </c>
      <c r="B174" s="52" t="s">
        <v>191</v>
      </c>
      <c r="E174" s="231"/>
      <c r="H174" s="61"/>
      <c r="I174" s="38"/>
      <c r="J174" s="38"/>
      <c r="M174" s="38"/>
      <c r="N174" s="38"/>
      <c r="O174" s="38"/>
    </row>
    <row r="175" spans="1:17">
      <c r="B175" s="52"/>
      <c r="E175" s="231"/>
      <c r="H175" s="61"/>
      <c r="I175" s="38"/>
      <c r="J175" s="38"/>
      <c r="M175" s="38"/>
      <c r="N175" s="38"/>
      <c r="O175" s="38"/>
    </row>
    <row r="176" spans="1:17">
      <c r="B176" s="52" t="s">
        <v>59</v>
      </c>
      <c r="C176" s="214">
        <v>1</v>
      </c>
      <c r="E176" s="230"/>
      <c r="G176" s="213"/>
      <c r="H176" s="41"/>
      <c r="I176" s="38"/>
      <c r="J176" s="38"/>
      <c r="M176" s="38"/>
      <c r="N176" s="38"/>
      <c r="O176" s="38"/>
    </row>
    <row r="177" spans="1:17" s="79" customFormat="1">
      <c r="A177" s="43"/>
      <c r="B177" s="52"/>
      <c r="C177" s="124"/>
      <c r="D177" s="41"/>
      <c r="E177" s="231"/>
      <c r="F177" s="41"/>
      <c r="G177" s="97"/>
      <c r="H177" s="41"/>
      <c r="Q177" s="95"/>
    </row>
    <row r="178" spans="1:17" s="79" customFormat="1" ht="114" customHeight="1">
      <c r="A178" s="43" t="s">
        <v>101</v>
      </c>
      <c r="B178" s="10" t="s">
        <v>127</v>
      </c>
      <c r="C178" s="41"/>
      <c r="D178" s="41"/>
      <c r="E178" s="231"/>
      <c r="F178" s="41"/>
      <c r="G178" s="97"/>
      <c r="H178" s="125"/>
      <c r="K178" s="10"/>
      <c r="Q178" s="82"/>
    </row>
    <row r="179" spans="1:17" s="79" customFormat="1" ht="15.95" customHeight="1">
      <c r="A179" s="43"/>
      <c r="B179" s="52" t="s">
        <v>122</v>
      </c>
      <c r="C179" s="216">
        <v>1</v>
      </c>
      <c r="D179" s="41"/>
      <c r="E179" s="232"/>
      <c r="F179" s="41"/>
      <c r="G179" s="213"/>
      <c r="H179" s="41"/>
      <c r="Q179" s="95"/>
    </row>
    <row r="180" spans="1:17" s="79" customFormat="1">
      <c r="A180" s="43"/>
      <c r="B180" s="52" t="s">
        <v>117</v>
      </c>
      <c r="C180" s="216">
        <v>2</v>
      </c>
      <c r="D180" s="41"/>
      <c r="E180" s="232"/>
      <c r="F180" s="41"/>
      <c r="G180" s="213"/>
      <c r="H180" s="41"/>
      <c r="Q180" s="95"/>
    </row>
    <row r="181" spans="1:17" s="79" customFormat="1">
      <c r="A181" s="43"/>
      <c r="B181" s="52" t="s">
        <v>118</v>
      </c>
      <c r="C181" s="216">
        <v>2</v>
      </c>
      <c r="D181" s="41"/>
      <c r="E181" s="232"/>
      <c r="F181" s="41"/>
      <c r="G181" s="213"/>
      <c r="H181" s="41"/>
      <c r="Q181" s="95"/>
    </row>
    <row r="182" spans="1:17" s="79" customFormat="1">
      <c r="A182" s="43"/>
      <c r="B182" s="52" t="s">
        <v>119</v>
      </c>
      <c r="C182" s="216">
        <v>1</v>
      </c>
      <c r="D182" s="41"/>
      <c r="E182" s="232"/>
      <c r="F182" s="41"/>
      <c r="G182" s="213"/>
      <c r="H182" s="41"/>
      <c r="Q182" s="95"/>
    </row>
    <row r="183" spans="1:17" s="79" customFormat="1">
      <c r="A183" s="43"/>
      <c r="B183" s="52"/>
      <c r="C183" s="124"/>
      <c r="D183" s="41"/>
      <c r="E183" s="231"/>
      <c r="F183" s="41"/>
      <c r="G183" s="97"/>
      <c r="H183" s="41"/>
      <c r="Q183" s="95"/>
    </row>
    <row r="184" spans="1:17" s="79" customFormat="1">
      <c r="A184" s="43"/>
      <c r="B184" s="52"/>
      <c r="C184" s="207" t="s">
        <v>170</v>
      </c>
      <c r="D184" s="203"/>
      <c r="E184" s="235" t="s">
        <v>171</v>
      </c>
      <c r="F184" s="203"/>
      <c r="G184" s="208" t="s">
        <v>164</v>
      </c>
      <c r="H184" s="41"/>
      <c r="Q184" s="95"/>
    </row>
    <row r="185" spans="1:17" s="79" customFormat="1" ht="162" customHeight="1">
      <c r="A185" s="43" t="s">
        <v>79</v>
      </c>
      <c r="B185" s="10" t="s">
        <v>128</v>
      </c>
      <c r="C185" s="41"/>
      <c r="D185" s="41"/>
      <c r="E185" s="231"/>
      <c r="F185" s="41"/>
      <c r="G185" s="97"/>
      <c r="H185" s="125"/>
      <c r="K185" s="10"/>
      <c r="Q185" s="82"/>
    </row>
    <row r="186" spans="1:17" s="79" customFormat="1">
      <c r="A186" s="43"/>
      <c r="B186" s="52"/>
      <c r="C186" s="41"/>
      <c r="D186" s="41"/>
      <c r="E186" s="231"/>
      <c r="F186" s="41"/>
      <c r="G186" s="97"/>
      <c r="H186" s="125"/>
      <c r="Q186" s="82"/>
    </row>
    <row r="187" spans="1:17" s="79" customFormat="1">
      <c r="A187" s="43"/>
      <c r="B187" s="52" t="s">
        <v>121</v>
      </c>
      <c r="C187" s="216">
        <f>C179</f>
        <v>1</v>
      </c>
      <c r="D187" s="41"/>
      <c r="E187" s="232"/>
      <c r="F187" s="41"/>
      <c r="G187" s="213"/>
      <c r="H187" s="41"/>
      <c r="Q187" s="95"/>
    </row>
    <row r="188" spans="1:17" s="79" customFormat="1">
      <c r="A188" s="43"/>
      <c r="B188" s="52" t="s">
        <v>117</v>
      </c>
      <c r="C188" s="216">
        <f>C180</f>
        <v>2</v>
      </c>
      <c r="D188" s="41"/>
      <c r="E188" s="232"/>
      <c r="F188" s="41"/>
      <c r="G188" s="213"/>
      <c r="H188" s="41"/>
      <c r="Q188" s="95"/>
    </row>
    <row r="189" spans="1:17" s="79" customFormat="1">
      <c r="A189" s="43"/>
      <c r="B189" s="52" t="s">
        <v>118</v>
      </c>
      <c r="C189" s="124">
        <f>C181</f>
        <v>2</v>
      </c>
      <c r="D189" s="41"/>
      <c r="E189" s="232"/>
      <c r="F189" s="41"/>
      <c r="G189" s="213"/>
      <c r="H189" s="41"/>
      <c r="Q189" s="95"/>
    </row>
    <row r="190" spans="1:17" s="79" customFormat="1">
      <c r="A190" s="43"/>
      <c r="B190" s="52" t="s">
        <v>119</v>
      </c>
      <c r="C190" s="124">
        <f>C182</f>
        <v>1</v>
      </c>
      <c r="D190" s="41"/>
      <c r="E190" s="232"/>
      <c r="F190" s="41"/>
      <c r="G190" s="213"/>
      <c r="H190" s="41"/>
      <c r="Q190" s="95"/>
    </row>
    <row r="191" spans="1:17" s="79" customFormat="1">
      <c r="A191" s="43"/>
      <c r="B191" s="52"/>
      <c r="C191" s="124"/>
      <c r="D191" s="41"/>
      <c r="E191" s="231"/>
      <c r="F191" s="41"/>
      <c r="G191" s="97"/>
      <c r="H191" s="41"/>
      <c r="Q191" s="95"/>
    </row>
    <row r="192" spans="1:17" s="79" customFormat="1" ht="122.25" customHeight="1">
      <c r="A192" s="43" t="s">
        <v>114</v>
      </c>
      <c r="B192" s="10" t="s">
        <v>129</v>
      </c>
      <c r="C192" s="41"/>
      <c r="D192" s="41"/>
      <c r="E192" s="231"/>
      <c r="F192" s="41"/>
      <c r="G192" s="97"/>
      <c r="H192" s="125"/>
      <c r="K192" s="10"/>
      <c r="Q192" s="82"/>
    </row>
    <row r="193" spans="1:17" s="79" customFormat="1">
      <c r="A193" s="43"/>
      <c r="B193" s="52"/>
      <c r="C193" s="124"/>
      <c r="D193" s="41"/>
      <c r="E193" s="231"/>
      <c r="F193" s="41"/>
      <c r="G193" s="97"/>
      <c r="H193" s="41"/>
      <c r="Q193" s="95"/>
    </row>
    <row r="194" spans="1:17" s="79" customFormat="1">
      <c r="A194" s="43"/>
      <c r="B194" s="52" t="s">
        <v>118</v>
      </c>
      <c r="C194" s="216">
        <v>1</v>
      </c>
      <c r="D194" s="41"/>
      <c r="E194" s="232"/>
      <c r="F194" s="41"/>
      <c r="G194" s="213"/>
      <c r="H194" s="41"/>
      <c r="Q194" s="95"/>
    </row>
    <row r="195" spans="1:17" s="79" customFormat="1">
      <c r="A195" s="43"/>
      <c r="B195" s="52"/>
      <c r="C195" s="41"/>
      <c r="D195" s="41"/>
      <c r="E195" s="231"/>
      <c r="F195" s="41"/>
      <c r="G195" s="97"/>
      <c r="H195" s="41"/>
      <c r="Q195" s="95"/>
    </row>
    <row r="196" spans="1:17" s="79" customFormat="1" ht="174.75" customHeight="1">
      <c r="A196" s="43" t="s">
        <v>107</v>
      </c>
      <c r="B196" s="10" t="s">
        <v>130</v>
      </c>
      <c r="C196" s="41"/>
      <c r="D196" s="41"/>
      <c r="E196" s="231"/>
      <c r="F196" s="41"/>
      <c r="G196" s="97"/>
      <c r="H196" s="125"/>
      <c r="K196" s="10"/>
      <c r="Q196" s="82"/>
    </row>
    <row r="197" spans="1:17" s="79" customFormat="1">
      <c r="A197" s="43"/>
      <c r="B197" s="52"/>
      <c r="C197" s="41"/>
      <c r="D197" s="41"/>
      <c r="E197" s="231"/>
      <c r="F197" s="41"/>
      <c r="G197" s="97"/>
      <c r="H197" s="125"/>
      <c r="Q197" s="82"/>
    </row>
    <row r="198" spans="1:17" s="79" customFormat="1">
      <c r="A198" s="43"/>
      <c r="B198" s="52" t="s">
        <v>118</v>
      </c>
      <c r="C198" s="216">
        <f>C194</f>
        <v>1</v>
      </c>
      <c r="D198" s="41"/>
      <c r="E198" s="232"/>
      <c r="F198" s="41"/>
      <c r="G198" s="213"/>
      <c r="H198" s="41"/>
      <c r="Q198" s="95"/>
    </row>
    <row r="199" spans="1:17" s="5" customFormat="1">
      <c r="A199" s="6"/>
      <c r="B199" s="10"/>
      <c r="C199" s="207" t="s">
        <v>170</v>
      </c>
      <c r="D199" s="203"/>
      <c r="E199" s="235" t="s">
        <v>171</v>
      </c>
      <c r="F199" s="203"/>
      <c r="G199" s="208" t="s">
        <v>164</v>
      </c>
      <c r="H199" s="2"/>
      <c r="Q199" s="89"/>
    </row>
    <row r="200" spans="1:17" s="5" customFormat="1" ht="191.25">
      <c r="A200" s="6" t="s">
        <v>109</v>
      </c>
      <c r="B200" s="126" t="s">
        <v>167</v>
      </c>
      <c r="C200" s="2"/>
      <c r="D200" s="2"/>
      <c r="E200" s="231"/>
      <c r="F200" s="2"/>
      <c r="G200" s="105"/>
      <c r="H200" s="15"/>
      <c r="K200" s="10"/>
      <c r="Q200" s="89"/>
    </row>
    <row r="201" spans="1:17" s="5" customFormat="1">
      <c r="A201" s="6"/>
      <c r="B201" s="10"/>
      <c r="C201" s="2"/>
      <c r="D201" s="2"/>
      <c r="E201" s="231"/>
      <c r="F201" s="2"/>
      <c r="G201" s="105"/>
      <c r="H201" s="15"/>
      <c r="Q201" s="89"/>
    </row>
    <row r="202" spans="1:17" s="5" customFormat="1">
      <c r="A202" s="6"/>
      <c r="B202" s="10" t="s">
        <v>23</v>
      </c>
      <c r="C202" s="217">
        <v>5</v>
      </c>
      <c r="D202" s="2"/>
      <c r="E202" s="232"/>
      <c r="F202" s="2"/>
      <c r="G202" s="218"/>
      <c r="H202" s="2"/>
      <c r="J202" s="122"/>
      <c r="Q202" s="89"/>
    </row>
    <row r="203" spans="1:17">
      <c r="B203" s="52"/>
      <c r="E203" s="231"/>
      <c r="H203" s="61"/>
      <c r="I203" s="38"/>
      <c r="J203" s="38"/>
      <c r="M203" s="38"/>
      <c r="N203" s="38"/>
      <c r="O203" s="38"/>
    </row>
    <row r="204" spans="1:17" ht="40.5" customHeight="1">
      <c r="A204" s="43" t="s">
        <v>1</v>
      </c>
      <c r="B204" s="52" t="s">
        <v>104</v>
      </c>
      <c r="E204" s="231"/>
      <c r="H204" s="61"/>
    </row>
    <row r="205" spans="1:17">
      <c r="B205" s="52"/>
      <c r="E205" s="231"/>
      <c r="H205" s="61"/>
    </row>
    <row r="206" spans="1:17">
      <c r="B206" s="52" t="s">
        <v>23</v>
      </c>
      <c r="C206" s="214">
        <v>7</v>
      </c>
      <c r="E206" s="232"/>
      <c r="G206" s="213"/>
      <c r="H206" s="41"/>
      <c r="Q206" s="95"/>
    </row>
    <row r="207" spans="1:17">
      <c r="B207" s="52"/>
      <c r="E207" s="231"/>
      <c r="H207" s="41"/>
      <c r="Q207" s="95"/>
    </row>
    <row r="208" spans="1:17" ht="30.75" customHeight="1">
      <c r="A208" s="43" t="s">
        <v>105</v>
      </c>
      <c r="B208" s="52" t="s">
        <v>103</v>
      </c>
      <c r="E208" s="231"/>
      <c r="H208" s="61"/>
    </row>
    <row r="209" spans="1:17">
      <c r="B209" s="52"/>
      <c r="E209" s="231"/>
      <c r="H209" s="49"/>
    </row>
    <row r="210" spans="1:17">
      <c r="B210" s="52" t="s">
        <v>22</v>
      </c>
      <c r="C210" s="214">
        <v>169</v>
      </c>
      <c r="E210" s="230"/>
      <c r="G210" s="213"/>
      <c r="H210" s="41"/>
    </row>
    <row r="211" spans="1:17">
      <c r="B211" s="52"/>
      <c r="E211" s="231"/>
      <c r="H211" s="41"/>
      <c r="Q211" s="95"/>
    </row>
    <row r="212" spans="1:17" ht="42.75" customHeight="1">
      <c r="A212" s="43" t="s">
        <v>2</v>
      </c>
      <c r="B212" s="52" t="s">
        <v>102</v>
      </c>
      <c r="E212" s="231"/>
      <c r="H212" s="61"/>
    </row>
    <row r="213" spans="1:17">
      <c r="B213" s="52"/>
      <c r="E213" s="231"/>
      <c r="H213" s="49"/>
    </row>
    <row r="214" spans="1:17">
      <c r="B214" s="52" t="s">
        <v>22</v>
      </c>
      <c r="C214" s="214">
        <v>169</v>
      </c>
      <c r="E214" s="230"/>
      <c r="G214" s="213"/>
      <c r="H214" s="41"/>
    </row>
    <row r="215" spans="1:17">
      <c r="B215" s="52"/>
      <c r="E215" s="240"/>
      <c r="H215" s="41"/>
    </row>
    <row r="216" spans="1:17" ht="22.5" customHeight="1">
      <c r="A216" s="43" t="s">
        <v>110</v>
      </c>
      <c r="B216" s="52" t="s">
        <v>106</v>
      </c>
      <c r="E216" s="231"/>
      <c r="H216" s="61"/>
    </row>
    <row r="217" spans="1:17">
      <c r="B217" s="52"/>
      <c r="E217" s="231"/>
      <c r="H217" s="49"/>
    </row>
    <row r="218" spans="1:17">
      <c r="B218" s="52" t="s">
        <v>22</v>
      </c>
      <c r="C218" s="214">
        <v>169</v>
      </c>
      <c r="E218" s="230"/>
      <c r="G218" s="213"/>
      <c r="H218" s="41"/>
    </row>
    <row r="219" spans="1:17">
      <c r="B219" s="52"/>
      <c r="H219" s="61"/>
    </row>
    <row r="220" spans="1:17" s="64" customFormat="1" ht="63.75">
      <c r="A220" s="43" t="s">
        <v>111</v>
      </c>
      <c r="B220" s="52" t="s">
        <v>9</v>
      </c>
      <c r="C220" s="41"/>
      <c r="D220" s="41"/>
      <c r="E220" s="107"/>
      <c r="F220" s="41"/>
      <c r="G220" s="97"/>
      <c r="H220" s="61"/>
      <c r="I220" s="62"/>
      <c r="J220" s="63"/>
      <c r="M220" s="65"/>
      <c r="N220" s="65"/>
      <c r="O220" s="65"/>
      <c r="Q220" s="82"/>
    </row>
    <row r="221" spans="1:17">
      <c r="B221" s="52"/>
      <c r="C221" s="59"/>
      <c r="D221" s="59"/>
      <c r="E221" s="114"/>
      <c r="F221" s="59"/>
      <c r="G221" s="104"/>
      <c r="H221" s="64"/>
      <c r="Q221" s="87"/>
    </row>
    <row r="222" spans="1:17">
      <c r="B222" s="52" t="s">
        <v>39</v>
      </c>
      <c r="G222" s="213"/>
      <c r="H222" s="41"/>
      <c r="J222" s="97"/>
      <c r="K222" s="97"/>
    </row>
    <row r="223" spans="1:17">
      <c r="B223" s="52"/>
      <c r="H223" s="61"/>
    </row>
    <row r="224" spans="1:17">
      <c r="B224" s="48" t="s">
        <v>24</v>
      </c>
      <c r="C224" s="56"/>
      <c r="D224" s="56"/>
      <c r="E224" s="112"/>
      <c r="F224" s="56"/>
      <c r="G224" s="209"/>
      <c r="Q224" s="86"/>
    </row>
    <row r="225" spans="8:8">
      <c r="H225" s="61"/>
    </row>
    <row r="226" spans="8:8">
      <c r="H226" s="61"/>
    </row>
  </sheetData>
  <sheetProtection selectLockedCells="1"/>
  <mergeCells count="2">
    <mergeCell ref="E22:G22"/>
    <mergeCell ref="E23:G23"/>
  </mergeCells>
  <conditionalFormatting sqref="G14:G17 C41:G57 C60:G84 C86:G89 C93:G112 C116:G128 C130:G144 C146:G152 C156:G162 C164:G180 C188:G198 C200:G218 C222:G224">
    <cfRule type="cellIs" dxfId="20" priority="5" stopIfTrue="1" operator="greaterThan">
      <formula>0</formula>
    </cfRule>
  </conditionalFormatting>
  <pageMargins left="1.1811023622047245" right="0.15748031496062992" top="0.59055118110236227" bottom="0.59055118110236227" header="0.39370078740157483" footer="0.39370078740157483"/>
  <pageSetup paperSize="9" orientation="portrait" useFirstPageNumber="1" r:id="rId1"/>
  <headerFooter alignWithMargins="0">
    <oddHeader>&amp;R&amp;"Arial,Navadno"&amp;9KANAL VS6</oddHeader>
    <oddFooter>&amp;C&amp;"Arial,Navadno"&amp;10&amp;P</oddFooter>
  </headerFooter>
  <rowBreaks count="9" manualBreakCount="9">
    <brk id="33" max="6" man="1"/>
    <brk id="57" max="6" man="1"/>
    <brk id="84" max="6" man="1"/>
    <brk id="112" max="6" man="1"/>
    <brk id="128" max="6" man="1"/>
    <brk id="144" max="6" man="1"/>
    <brk id="162" max="6" man="1"/>
    <brk id="183" max="6" man="1"/>
    <brk id="198"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744"/>
  <sheetViews>
    <sheetView view="pageBreakPreview" topLeftCell="A23" zoomScale="60" zoomScaleNormal="100" workbookViewId="0">
      <selection activeCell="E42" sqref="E42:E161"/>
    </sheetView>
  </sheetViews>
  <sheetFormatPr defaultColWidth="8.6640625" defaultRowHeight="15.75"/>
  <cols>
    <col min="1" max="1" width="6" style="141" customWidth="1"/>
    <col min="2" max="2" width="27.44140625" style="161" customWidth="1"/>
    <col min="3" max="3" width="7.44140625" style="132" customWidth="1"/>
    <col min="4" max="4" width="3.6640625" style="132" customWidth="1"/>
    <col min="5" max="5" width="7.5546875" style="133" bestFit="1" customWidth="1"/>
    <col min="6" max="6" width="3.6640625" style="132" customWidth="1"/>
    <col min="7" max="7" width="15.109375" style="134" customWidth="1"/>
    <col min="8" max="8" width="3.6640625" style="136" customWidth="1"/>
    <col min="9" max="9" width="3.6640625" style="137" customWidth="1"/>
    <col min="10" max="10" width="12.109375" style="138" customWidth="1"/>
    <col min="11" max="11" width="17.6640625" style="136" customWidth="1"/>
    <col min="12" max="12" width="15.5546875" style="136" customWidth="1"/>
    <col min="13" max="15" width="8.6640625" style="139" customWidth="1"/>
    <col min="16" max="16" width="8.6640625" style="136" customWidth="1"/>
    <col min="17" max="17" width="11.109375" style="135" customWidth="1"/>
    <col min="18" max="16384" width="8.6640625" style="136"/>
  </cols>
  <sheetData>
    <row r="1" spans="1:17" s="130" customFormat="1" ht="15.95" customHeight="1">
      <c r="A1" s="128"/>
      <c r="B1" s="129" t="s">
        <v>11</v>
      </c>
      <c r="C1" s="1" t="s">
        <v>123</v>
      </c>
      <c r="D1" s="33"/>
      <c r="E1" s="33"/>
      <c r="F1" s="2"/>
      <c r="G1" s="96"/>
      <c r="H1" s="78"/>
      <c r="Q1" s="90"/>
    </row>
    <row r="2" spans="1:17" s="130" customFormat="1" ht="15.95" customHeight="1">
      <c r="A2" s="128"/>
      <c r="B2" s="129"/>
      <c r="C2" s="1" t="s">
        <v>124</v>
      </c>
      <c r="D2" s="33"/>
      <c r="E2" s="33"/>
      <c r="F2" s="2"/>
      <c r="G2" s="96"/>
      <c r="H2" s="78"/>
      <c r="Q2" s="90"/>
    </row>
    <row r="3" spans="1:17" s="130" customFormat="1">
      <c r="A3" s="128"/>
      <c r="B3" s="129" t="s">
        <v>8</v>
      </c>
      <c r="C3" s="131" t="s">
        <v>192</v>
      </c>
      <c r="D3" s="132"/>
      <c r="E3" s="133"/>
      <c r="F3" s="132"/>
      <c r="G3" s="134"/>
      <c r="Q3" s="135"/>
    </row>
    <row r="4" spans="1:17" s="130" customFormat="1">
      <c r="A4" s="128"/>
      <c r="B4" s="129" t="s">
        <v>144</v>
      </c>
      <c r="C4" s="40" t="s">
        <v>175</v>
      </c>
      <c r="D4" s="33"/>
      <c r="E4" s="106"/>
      <c r="F4" s="2"/>
      <c r="G4" s="134"/>
      <c r="Q4" s="90"/>
    </row>
    <row r="5" spans="1:17" s="130" customFormat="1">
      <c r="A5" s="128"/>
      <c r="B5" s="129" t="s">
        <v>13</v>
      </c>
      <c r="C5" s="1" t="s">
        <v>172</v>
      </c>
      <c r="D5" s="33"/>
      <c r="E5" s="106"/>
      <c r="F5" s="2"/>
      <c r="G5" s="134"/>
      <c r="Q5" s="90"/>
    </row>
    <row r="6" spans="1:17">
      <c r="A6" s="128"/>
      <c r="B6" s="129"/>
      <c r="C6" s="42" t="s">
        <v>173</v>
      </c>
      <c r="D6" s="41"/>
      <c r="E6" s="107"/>
      <c r="F6" s="41"/>
    </row>
    <row r="9" spans="1:17" ht="18">
      <c r="A9" s="141" t="s">
        <v>14</v>
      </c>
      <c r="B9" s="142" t="s">
        <v>52</v>
      </c>
      <c r="C9" s="143"/>
      <c r="D9" s="143"/>
      <c r="E9" s="144"/>
      <c r="F9" s="143"/>
      <c r="G9" s="145"/>
      <c r="Q9" s="146"/>
    </row>
    <row r="12" spans="1:17" s="7" customFormat="1">
      <c r="A12" s="8" t="s">
        <v>15</v>
      </c>
      <c r="B12" s="9" t="s">
        <v>16</v>
      </c>
      <c r="C12" s="46"/>
      <c r="E12" s="109"/>
      <c r="G12" s="99"/>
      <c r="I12" s="26"/>
      <c r="J12" s="22"/>
      <c r="M12" s="30"/>
      <c r="N12" s="30"/>
      <c r="O12" s="30"/>
      <c r="Q12" s="91"/>
    </row>
    <row r="13" spans="1:17" s="7" customFormat="1">
      <c r="A13" s="8"/>
      <c r="B13" s="9"/>
      <c r="C13" s="46"/>
      <c r="E13" s="109"/>
      <c r="G13" s="99"/>
      <c r="I13" s="26"/>
      <c r="J13" s="22"/>
      <c r="M13" s="30"/>
      <c r="N13" s="30"/>
      <c r="O13" s="30"/>
      <c r="Q13" s="91"/>
    </row>
    <row r="14" spans="1:17" s="7" customFormat="1">
      <c r="A14" s="147" t="s">
        <v>27</v>
      </c>
      <c r="B14" s="148" t="s">
        <v>26</v>
      </c>
      <c r="C14" s="149"/>
      <c r="D14" s="149"/>
      <c r="E14" s="150"/>
      <c r="F14" s="149"/>
      <c r="G14" s="211"/>
      <c r="H14" s="80"/>
      <c r="I14" s="26"/>
      <c r="J14" s="22"/>
      <c r="K14" s="119"/>
      <c r="M14" s="30"/>
      <c r="N14" s="30"/>
      <c r="O14" s="30"/>
      <c r="Q14" s="152"/>
    </row>
    <row r="15" spans="1:17">
      <c r="A15" s="147" t="s">
        <v>32</v>
      </c>
      <c r="B15" s="148" t="s">
        <v>17</v>
      </c>
      <c r="C15" s="149"/>
      <c r="D15" s="149"/>
      <c r="E15" s="150"/>
      <c r="F15" s="149"/>
      <c r="G15" s="211"/>
      <c r="H15" s="80"/>
      <c r="K15" s="153"/>
      <c r="Q15" s="152"/>
    </row>
    <row r="16" spans="1:17">
      <c r="A16" s="147" t="s">
        <v>42</v>
      </c>
      <c r="B16" s="148" t="s">
        <v>18</v>
      </c>
      <c r="C16" s="149"/>
      <c r="D16" s="149"/>
      <c r="E16" s="150"/>
      <c r="F16" s="149"/>
      <c r="G16" s="211"/>
      <c r="H16" s="80"/>
      <c r="K16" s="153"/>
      <c r="Q16" s="152"/>
    </row>
    <row r="17" spans="1:17">
      <c r="A17" s="147"/>
      <c r="B17" s="148"/>
      <c r="C17" s="149"/>
      <c r="D17" s="149"/>
      <c r="E17" s="150"/>
      <c r="F17" s="149"/>
      <c r="G17" s="151"/>
      <c r="K17" s="154"/>
      <c r="Q17" s="152"/>
    </row>
    <row r="18" spans="1:17" ht="16.5" thickBot="1">
      <c r="A18" s="147"/>
      <c r="B18" s="155" t="s">
        <v>53</v>
      </c>
      <c r="C18" s="156"/>
      <c r="D18" s="156"/>
      <c r="E18" s="157"/>
      <c r="F18" s="156"/>
      <c r="G18" s="212"/>
      <c r="H18" s="80"/>
      <c r="K18" s="158"/>
      <c r="Q18" s="159"/>
    </row>
    <row r="21" spans="1:17">
      <c r="B21" s="53" t="s">
        <v>81</v>
      </c>
      <c r="D21" s="460" t="s">
        <v>203</v>
      </c>
      <c r="E21" s="460"/>
      <c r="F21" s="460"/>
      <c r="G21" s="460"/>
    </row>
    <row r="22" spans="1:17" ht="82.5" customHeight="1">
      <c r="B22" s="53" t="s">
        <v>84</v>
      </c>
      <c r="D22" s="459" t="s">
        <v>244</v>
      </c>
      <c r="E22" s="459"/>
      <c r="F22" s="459"/>
      <c r="G22" s="459"/>
    </row>
    <row r="23" spans="1:17">
      <c r="B23" s="53"/>
      <c r="D23" s="459"/>
      <c r="E23" s="459"/>
      <c r="F23" s="459"/>
      <c r="G23" s="459"/>
    </row>
    <row r="24" spans="1:17">
      <c r="B24" s="53" t="s">
        <v>82</v>
      </c>
      <c r="D24" s="459"/>
      <c r="E24" s="459"/>
      <c r="F24" s="459"/>
      <c r="G24" s="459"/>
    </row>
    <row r="25" spans="1:17" ht="63.75">
      <c r="B25" s="53" t="s">
        <v>83</v>
      </c>
      <c r="D25" s="459"/>
      <c r="E25" s="459"/>
      <c r="F25" s="459"/>
      <c r="G25" s="459"/>
    </row>
    <row r="26" spans="1:17">
      <c r="B26" s="53"/>
      <c r="D26" s="223"/>
      <c r="E26" s="223"/>
      <c r="F26" s="223"/>
      <c r="G26" s="223"/>
    </row>
    <row r="27" spans="1:17">
      <c r="B27" s="161" t="s">
        <v>143</v>
      </c>
      <c r="D27" s="460" t="s">
        <v>242</v>
      </c>
      <c r="E27" s="460"/>
      <c r="F27" s="460"/>
      <c r="G27" s="460"/>
    </row>
    <row r="28" spans="1:17" s="132" customFormat="1" ht="76.5" customHeight="1">
      <c r="A28" s="141"/>
      <c r="B28" s="160" t="s">
        <v>165</v>
      </c>
      <c r="D28" s="459" t="s">
        <v>200</v>
      </c>
      <c r="E28" s="459"/>
      <c r="F28" s="459"/>
      <c r="G28" s="459"/>
      <c r="H28" s="136"/>
      <c r="I28" s="137"/>
      <c r="J28" s="138"/>
      <c r="K28" s="224"/>
      <c r="L28" s="160"/>
      <c r="M28" s="139"/>
      <c r="N28" s="139"/>
      <c r="O28" s="139"/>
      <c r="P28" s="136"/>
      <c r="Q28" s="135"/>
    </row>
    <row r="29" spans="1:17" s="132" customFormat="1">
      <c r="A29" s="141"/>
      <c r="B29" s="160"/>
      <c r="D29" s="459"/>
      <c r="E29" s="459"/>
      <c r="F29" s="459"/>
      <c r="G29" s="459"/>
      <c r="H29" s="136"/>
      <c r="I29" s="137"/>
      <c r="J29" s="138"/>
      <c r="K29" s="224"/>
      <c r="L29" s="160"/>
      <c r="M29" s="139"/>
      <c r="N29" s="139"/>
      <c r="O29" s="139"/>
      <c r="P29" s="136"/>
      <c r="Q29" s="135"/>
    </row>
    <row r="30" spans="1:17" s="132" customFormat="1">
      <c r="A30" s="141"/>
      <c r="B30" s="161" t="s">
        <v>169</v>
      </c>
      <c r="D30" s="459"/>
      <c r="E30" s="459"/>
      <c r="F30" s="459"/>
      <c r="G30" s="459"/>
      <c r="H30" s="136"/>
      <c r="I30" s="137"/>
      <c r="J30" s="138"/>
      <c r="K30" s="224"/>
      <c r="L30" s="160"/>
      <c r="M30" s="139"/>
      <c r="N30" s="139"/>
      <c r="O30" s="139"/>
      <c r="P30" s="136"/>
      <c r="Q30" s="135"/>
    </row>
    <row r="31" spans="1:17" s="132" customFormat="1" ht="63.75">
      <c r="A31" s="141"/>
      <c r="B31" s="224" t="s">
        <v>243</v>
      </c>
      <c r="D31" s="459"/>
      <c r="E31" s="459"/>
      <c r="F31" s="459"/>
      <c r="G31" s="459"/>
      <c r="H31" s="136"/>
      <c r="I31" s="137"/>
      <c r="J31" s="138"/>
      <c r="K31" s="224"/>
      <c r="L31" s="160"/>
      <c r="M31" s="139"/>
      <c r="N31" s="139"/>
      <c r="O31" s="139"/>
      <c r="P31" s="136"/>
      <c r="Q31" s="135"/>
    </row>
    <row r="32" spans="1:17" s="132" customFormat="1" ht="15.95" customHeight="1">
      <c r="A32" s="141"/>
      <c r="B32" s="224"/>
      <c r="C32" s="224"/>
      <c r="D32" s="224"/>
      <c r="E32" s="133"/>
      <c r="G32" s="134"/>
      <c r="H32" s="136"/>
      <c r="I32" s="137"/>
      <c r="J32" s="138"/>
      <c r="K32" s="136"/>
      <c r="L32" s="160"/>
      <c r="M32" s="139"/>
      <c r="N32" s="139"/>
      <c r="O32" s="139"/>
      <c r="P32" s="136"/>
      <c r="Q32" s="135"/>
    </row>
    <row r="34" spans="1:17" s="132" customFormat="1">
      <c r="A34" s="141"/>
      <c r="B34" s="3" t="s">
        <v>145</v>
      </c>
      <c r="E34" s="133"/>
      <c r="G34" s="134"/>
      <c r="H34" s="136"/>
      <c r="I34" s="137"/>
      <c r="J34" s="138"/>
      <c r="K34" s="136"/>
      <c r="L34" s="136"/>
      <c r="M34" s="139"/>
      <c r="N34" s="139"/>
      <c r="O34" s="139"/>
      <c r="P34" s="136"/>
      <c r="Q34" s="135"/>
    </row>
    <row r="35" spans="1:17" s="7" customFormat="1">
      <c r="A35" s="141"/>
      <c r="B35" s="161"/>
      <c r="C35" s="132"/>
      <c r="D35" s="132"/>
      <c r="E35" s="133"/>
      <c r="F35" s="132"/>
      <c r="G35" s="134"/>
      <c r="H35" s="136"/>
      <c r="I35" s="26"/>
      <c r="J35" s="22"/>
      <c r="M35" s="30"/>
      <c r="N35" s="30"/>
      <c r="O35" s="30"/>
      <c r="Q35" s="135"/>
    </row>
    <row r="36" spans="1:17">
      <c r="A36" s="11" t="s">
        <v>19</v>
      </c>
      <c r="B36" s="9" t="s">
        <v>16</v>
      </c>
      <c r="C36" s="46"/>
      <c r="D36" s="7"/>
      <c r="E36" s="109"/>
      <c r="F36" s="7"/>
      <c r="G36" s="99"/>
      <c r="H36" s="7"/>
      <c r="Q36" s="91"/>
    </row>
    <row r="37" spans="1:17" s="7" customFormat="1">
      <c r="A37" s="141"/>
      <c r="B37" s="162"/>
      <c r="C37" s="163"/>
      <c r="D37" s="163"/>
      <c r="E37" s="164"/>
      <c r="F37" s="163"/>
      <c r="G37" s="165"/>
      <c r="H37" s="136"/>
      <c r="I37" s="26"/>
      <c r="J37" s="22"/>
      <c r="M37" s="30"/>
      <c r="N37" s="30"/>
      <c r="O37" s="30"/>
      <c r="Q37" s="166"/>
    </row>
    <row r="38" spans="1:17" s="7" customFormat="1">
      <c r="A38" s="11" t="s">
        <v>27</v>
      </c>
      <c r="B38" s="9" t="s">
        <v>26</v>
      </c>
      <c r="C38" s="46"/>
      <c r="E38" s="109"/>
      <c r="G38" s="99"/>
      <c r="I38" s="26"/>
      <c r="J38" s="22"/>
      <c r="M38" s="30"/>
      <c r="N38" s="30"/>
      <c r="O38" s="30"/>
      <c r="Q38" s="91"/>
    </row>
    <row r="39" spans="1:17" s="7" customFormat="1">
      <c r="A39" s="8"/>
      <c r="B39" s="9"/>
      <c r="C39" s="207" t="s">
        <v>170</v>
      </c>
      <c r="D39" s="205"/>
      <c r="E39" s="208" t="s">
        <v>171</v>
      </c>
      <c r="F39" s="203"/>
      <c r="G39" s="208" t="s">
        <v>164</v>
      </c>
      <c r="I39" s="26"/>
      <c r="J39" s="22"/>
      <c r="M39" s="30"/>
      <c r="N39" s="30"/>
      <c r="O39" s="30"/>
      <c r="Q39" s="91"/>
    </row>
    <row r="40" spans="1:17" s="17" customFormat="1" ht="51.75">
      <c r="A40" s="12" t="s">
        <v>28</v>
      </c>
      <c r="B40" s="13" t="s">
        <v>146</v>
      </c>
      <c r="C40" s="46"/>
      <c r="D40" s="7"/>
      <c r="E40" s="109"/>
      <c r="F40" s="7"/>
      <c r="G40" s="99"/>
      <c r="H40" s="7"/>
      <c r="I40" s="27"/>
      <c r="J40" s="23"/>
      <c r="M40" s="31"/>
      <c r="N40" s="31"/>
      <c r="O40" s="31"/>
      <c r="Q40" s="91"/>
    </row>
    <row r="41" spans="1:17" s="7" customFormat="1">
      <c r="A41" s="18"/>
      <c r="B41" s="13"/>
      <c r="C41" s="57"/>
      <c r="D41" s="17"/>
      <c r="E41" s="113"/>
      <c r="F41" s="17"/>
      <c r="G41" s="102"/>
      <c r="H41" s="17"/>
      <c r="I41" s="26"/>
      <c r="J41" s="22"/>
      <c r="M41" s="30"/>
      <c r="N41" s="30"/>
      <c r="O41" s="30"/>
      <c r="Q41" s="92"/>
    </row>
    <row r="42" spans="1:17" s="7" customFormat="1">
      <c r="A42" s="8"/>
      <c r="B42" s="167" t="s">
        <v>22</v>
      </c>
      <c r="C42" s="219">
        <v>166</v>
      </c>
      <c r="D42" s="132"/>
      <c r="E42" s="244"/>
      <c r="F42" s="168"/>
      <c r="G42" s="220"/>
      <c r="H42" s="168"/>
      <c r="I42" s="26"/>
      <c r="J42" s="22"/>
      <c r="M42" s="30"/>
      <c r="N42" s="30"/>
      <c r="O42" s="30"/>
      <c r="Q42" s="135"/>
    </row>
    <row r="43" spans="1:17" s="7" customFormat="1">
      <c r="A43" s="8"/>
      <c r="B43" s="14"/>
      <c r="C43" s="46"/>
      <c r="E43" s="245"/>
      <c r="G43" s="99"/>
      <c r="I43" s="26"/>
      <c r="J43" s="22"/>
      <c r="M43" s="30"/>
      <c r="N43" s="30"/>
      <c r="O43" s="30"/>
      <c r="Q43" s="91"/>
    </row>
    <row r="44" spans="1:17" s="19" customFormat="1" ht="51">
      <c r="A44" s="12" t="s">
        <v>30</v>
      </c>
      <c r="B44" s="167" t="s">
        <v>147</v>
      </c>
      <c r="C44" s="46"/>
      <c r="D44" s="7"/>
      <c r="E44" s="245"/>
      <c r="F44" s="7"/>
      <c r="G44" s="99"/>
      <c r="H44" s="7"/>
      <c r="I44" s="28"/>
      <c r="J44" s="24"/>
      <c r="M44" s="32"/>
      <c r="N44" s="32"/>
      <c r="O44" s="32"/>
      <c r="Q44" s="91"/>
    </row>
    <row r="45" spans="1:17" s="7" customFormat="1">
      <c r="A45" s="20"/>
      <c r="B45" s="167"/>
      <c r="C45" s="58"/>
      <c r="D45" s="19"/>
      <c r="E45" s="245"/>
      <c r="F45" s="19"/>
      <c r="G45" s="103"/>
      <c r="H45" s="19"/>
      <c r="I45" s="26"/>
      <c r="J45" s="22"/>
      <c r="M45" s="30"/>
      <c r="N45" s="30"/>
      <c r="O45" s="30"/>
      <c r="Q45" s="93"/>
    </row>
    <row r="46" spans="1:17" s="7" customFormat="1">
      <c r="A46" s="8"/>
      <c r="B46" s="167" t="s">
        <v>55</v>
      </c>
      <c r="C46" s="219">
        <v>1</v>
      </c>
      <c r="D46" s="132"/>
      <c r="E46" s="246"/>
      <c r="F46" s="168"/>
      <c r="G46" s="220"/>
      <c r="H46" s="168"/>
      <c r="I46" s="26"/>
      <c r="J46" s="22"/>
      <c r="M46" s="30"/>
      <c r="N46" s="30"/>
      <c r="O46" s="30"/>
      <c r="Q46" s="135"/>
    </row>
    <row r="47" spans="1:17" s="7" customFormat="1">
      <c r="A47" s="8"/>
      <c r="B47" s="167"/>
      <c r="C47" s="132"/>
      <c r="D47" s="132"/>
      <c r="E47" s="245"/>
      <c r="F47" s="132"/>
      <c r="G47" s="134"/>
      <c r="H47" s="132"/>
      <c r="I47" s="26"/>
      <c r="J47" s="22"/>
      <c r="M47" s="30"/>
      <c r="N47" s="30"/>
      <c r="O47" s="30"/>
      <c r="Q47" s="135"/>
    </row>
    <row r="48" spans="1:17" s="19" customFormat="1" ht="51">
      <c r="A48" s="12" t="s">
        <v>56</v>
      </c>
      <c r="B48" s="167" t="s">
        <v>68</v>
      </c>
      <c r="C48" s="132"/>
      <c r="D48" s="132"/>
      <c r="E48" s="245"/>
      <c r="F48" s="132"/>
      <c r="G48" s="134"/>
      <c r="H48" s="7"/>
      <c r="I48" s="28"/>
      <c r="J48" s="24"/>
      <c r="M48" s="32"/>
      <c r="N48" s="32"/>
      <c r="O48" s="32"/>
      <c r="Q48" s="135"/>
    </row>
    <row r="49" spans="1:17" s="7" customFormat="1">
      <c r="A49" s="20"/>
      <c r="B49" s="167"/>
      <c r="C49" s="169"/>
      <c r="D49" s="169"/>
      <c r="E49" s="245"/>
      <c r="F49" s="169"/>
      <c r="G49" s="170"/>
      <c r="H49" s="19"/>
      <c r="I49" s="26"/>
      <c r="J49" s="22"/>
      <c r="M49" s="30"/>
      <c r="N49" s="30"/>
      <c r="O49" s="30"/>
      <c r="Q49" s="171"/>
    </row>
    <row r="50" spans="1:17" s="7" customFormat="1">
      <c r="A50" s="8"/>
      <c r="B50" s="167" t="s">
        <v>23</v>
      </c>
      <c r="C50" s="219">
        <f>INT(C42/20)+1</f>
        <v>9</v>
      </c>
      <c r="D50" s="132"/>
      <c r="E50" s="246"/>
      <c r="F50" s="168"/>
      <c r="G50" s="220"/>
      <c r="H50" s="168"/>
      <c r="I50" s="26"/>
      <c r="J50" s="22"/>
      <c r="M50" s="30"/>
      <c r="N50" s="30"/>
      <c r="O50" s="30"/>
      <c r="Q50" s="135"/>
    </row>
    <row r="51" spans="1:17" s="7" customFormat="1">
      <c r="A51" s="8"/>
      <c r="B51" s="167"/>
      <c r="C51" s="132"/>
      <c r="D51" s="132"/>
      <c r="E51" s="245"/>
      <c r="F51" s="132"/>
      <c r="G51" s="134"/>
      <c r="H51" s="132"/>
      <c r="I51" s="26"/>
      <c r="J51" s="22"/>
      <c r="M51" s="30"/>
      <c r="N51" s="30"/>
      <c r="O51" s="30"/>
      <c r="Q51" s="135"/>
    </row>
    <row r="52" spans="1:17" s="7" customFormat="1" ht="38.25">
      <c r="A52" s="12" t="s">
        <v>5</v>
      </c>
      <c r="B52" s="167" t="s">
        <v>6</v>
      </c>
      <c r="C52" s="132"/>
      <c r="D52" s="132"/>
      <c r="E52" s="245"/>
      <c r="F52" s="132"/>
      <c r="G52" s="134"/>
      <c r="I52" s="26"/>
      <c r="J52" s="22"/>
      <c r="M52" s="30"/>
      <c r="N52" s="30"/>
      <c r="O52" s="30"/>
      <c r="Q52" s="135"/>
    </row>
    <row r="53" spans="1:17" s="7" customFormat="1">
      <c r="A53" s="20"/>
      <c r="B53" s="167"/>
      <c r="C53" s="169"/>
      <c r="D53" s="169"/>
      <c r="E53" s="247"/>
      <c r="F53" s="169"/>
      <c r="G53" s="170"/>
      <c r="H53" s="19"/>
      <c r="I53" s="26"/>
      <c r="J53" s="22"/>
      <c r="M53" s="30"/>
      <c r="N53" s="30"/>
      <c r="O53" s="30"/>
      <c r="Q53" s="171"/>
    </row>
    <row r="54" spans="1:17" s="7" customFormat="1">
      <c r="A54" s="8"/>
      <c r="B54" s="167" t="s">
        <v>29</v>
      </c>
      <c r="C54" s="219">
        <v>1</v>
      </c>
      <c r="D54" s="132"/>
      <c r="E54" s="246"/>
      <c r="F54" s="168"/>
      <c r="G54" s="220"/>
      <c r="H54" s="168"/>
      <c r="I54" s="26"/>
      <c r="J54" s="22"/>
      <c r="M54" s="30"/>
      <c r="N54" s="30"/>
      <c r="O54" s="30"/>
      <c r="Q54" s="135"/>
    </row>
    <row r="55" spans="1:17" s="7" customFormat="1">
      <c r="A55" s="8"/>
      <c r="B55" s="167"/>
      <c r="C55" s="132"/>
      <c r="D55" s="132"/>
      <c r="E55" s="245"/>
      <c r="F55" s="132"/>
      <c r="G55" s="134"/>
      <c r="H55" s="132"/>
      <c r="I55" s="26"/>
      <c r="J55" s="22"/>
      <c r="M55" s="30"/>
      <c r="N55" s="30"/>
      <c r="O55" s="30"/>
      <c r="Q55" s="135"/>
    </row>
    <row r="56" spans="1:17" s="19" customFormat="1" ht="25.5">
      <c r="A56" s="12" t="s">
        <v>75</v>
      </c>
      <c r="B56" s="167" t="s">
        <v>148</v>
      </c>
      <c r="C56" s="132"/>
      <c r="D56" s="132"/>
      <c r="E56" s="245"/>
      <c r="F56" s="132"/>
      <c r="G56" s="134"/>
      <c r="H56" s="7"/>
      <c r="I56" s="28"/>
      <c r="J56" s="24"/>
      <c r="M56" s="32"/>
      <c r="N56" s="32"/>
      <c r="O56" s="32"/>
      <c r="Q56" s="135"/>
    </row>
    <row r="57" spans="1:17" s="7" customFormat="1">
      <c r="A57" s="20"/>
      <c r="B57" s="167"/>
      <c r="C57" s="169"/>
      <c r="D57" s="169"/>
      <c r="E57" s="247"/>
      <c r="F57" s="169"/>
      <c r="G57" s="170"/>
      <c r="H57" s="19"/>
      <c r="I57" s="26"/>
      <c r="J57" s="22"/>
      <c r="M57" s="30"/>
      <c r="N57" s="30"/>
      <c r="O57" s="30"/>
      <c r="Q57" s="171"/>
    </row>
    <row r="58" spans="1:17" s="7" customFormat="1">
      <c r="A58" s="8"/>
      <c r="B58" s="167" t="s">
        <v>23</v>
      </c>
      <c r="C58" s="219">
        <v>1</v>
      </c>
      <c r="D58" s="132"/>
      <c r="E58" s="246"/>
      <c r="F58" s="168"/>
      <c r="G58" s="220"/>
      <c r="H58" s="168"/>
      <c r="I58" s="26"/>
      <c r="J58" s="22"/>
      <c r="M58" s="30"/>
      <c r="N58" s="30"/>
      <c r="O58" s="30"/>
      <c r="Q58" s="135"/>
    </row>
    <row r="59" spans="1:17" s="7" customFormat="1">
      <c r="A59" s="8"/>
      <c r="B59" s="167"/>
      <c r="C59" s="132"/>
      <c r="D59" s="132"/>
      <c r="E59" s="245"/>
      <c r="F59" s="132"/>
      <c r="G59" s="134"/>
      <c r="H59" s="132"/>
      <c r="I59" s="26"/>
      <c r="J59" s="22"/>
      <c r="M59" s="30"/>
      <c r="N59" s="30"/>
      <c r="O59" s="30"/>
      <c r="Q59" s="135"/>
    </row>
    <row r="60" spans="1:17" s="7" customFormat="1" ht="56.25" customHeight="1">
      <c r="A60" s="12" t="s">
        <v>54</v>
      </c>
      <c r="B60" s="167" t="s">
        <v>201</v>
      </c>
      <c r="C60" s="132"/>
      <c r="D60" s="132"/>
      <c r="E60" s="245"/>
      <c r="F60" s="132"/>
      <c r="G60" s="134"/>
      <c r="I60" s="26"/>
      <c r="J60" s="22"/>
      <c r="M60" s="30"/>
      <c r="N60" s="30"/>
      <c r="O60" s="30"/>
      <c r="Q60" s="135"/>
    </row>
    <row r="61" spans="1:17" s="7" customFormat="1" ht="38.25">
      <c r="A61" s="8"/>
      <c r="B61" s="52" t="s">
        <v>116</v>
      </c>
      <c r="C61" s="214">
        <v>1</v>
      </c>
      <c r="D61" s="41"/>
      <c r="E61" s="232"/>
      <c r="F61" s="81"/>
      <c r="G61" s="213"/>
      <c r="H61" s="81"/>
      <c r="I61" s="26"/>
      <c r="J61" s="22"/>
      <c r="M61" s="30"/>
      <c r="N61" s="30"/>
      <c r="O61" s="30"/>
      <c r="Q61" s="82"/>
    </row>
    <row r="62" spans="1:17" s="7" customFormat="1" ht="15.95" customHeight="1">
      <c r="A62" s="8"/>
      <c r="B62" s="167"/>
      <c r="C62" s="132"/>
      <c r="D62" s="132"/>
      <c r="E62" s="245"/>
      <c r="F62" s="132"/>
      <c r="G62" s="134"/>
      <c r="I62" s="26"/>
      <c r="J62" s="22"/>
      <c r="M62" s="30"/>
      <c r="N62" s="30"/>
      <c r="O62" s="30"/>
      <c r="Q62" s="135"/>
    </row>
    <row r="63" spans="1:17" s="7" customFormat="1" ht="15.95" customHeight="1">
      <c r="A63" s="12" t="s">
        <v>61</v>
      </c>
      <c r="B63" s="167" t="s">
        <v>62</v>
      </c>
      <c r="C63" s="132"/>
      <c r="D63" s="132"/>
      <c r="E63" s="245"/>
      <c r="F63" s="132"/>
      <c r="G63" s="134"/>
      <c r="I63" s="26"/>
      <c r="J63" s="22"/>
      <c r="M63" s="30"/>
      <c r="N63" s="30"/>
      <c r="O63" s="30"/>
      <c r="Q63" s="135"/>
    </row>
    <row r="64" spans="1:17" s="7" customFormat="1" ht="15.95" customHeight="1">
      <c r="A64" s="20"/>
      <c r="B64" s="167"/>
      <c r="C64" s="169"/>
      <c r="D64" s="169"/>
      <c r="E64" s="247"/>
      <c r="F64" s="169"/>
      <c r="G64" s="170"/>
      <c r="H64" s="19"/>
      <c r="I64" s="26"/>
      <c r="J64" s="22"/>
      <c r="M64" s="30"/>
      <c r="N64" s="30"/>
      <c r="O64" s="30"/>
      <c r="Q64" s="171"/>
    </row>
    <row r="65" spans="1:17" s="7" customFormat="1" ht="15.95" customHeight="1">
      <c r="A65" s="8"/>
      <c r="B65" s="167" t="s">
        <v>41</v>
      </c>
      <c r="C65" s="219">
        <v>2.5</v>
      </c>
      <c r="D65" s="132"/>
      <c r="E65" s="246"/>
      <c r="F65" s="168"/>
      <c r="G65" s="220"/>
      <c r="H65" s="168"/>
      <c r="I65" s="26"/>
      <c r="J65" s="22"/>
      <c r="M65" s="30"/>
      <c r="N65" s="30"/>
      <c r="O65" s="30"/>
      <c r="Q65" s="135"/>
    </row>
    <row r="66" spans="1:17" s="7" customFormat="1" ht="15.95" customHeight="1">
      <c r="A66" s="8"/>
      <c r="B66" s="167"/>
      <c r="C66" s="132"/>
      <c r="D66" s="132"/>
      <c r="E66" s="245"/>
      <c r="F66" s="132"/>
      <c r="G66" s="134"/>
      <c r="H66" s="132"/>
      <c r="I66" s="26"/>
      <c r="J66" s="22"/>
      <c r="M66" s="30"/>
      <c r="N66" s="30"/>
      <c r="O66" s="30"/>
      <c r="Q66" s="135"/>
    </row>
    <row r="67" spans="1:17" s="7" customFormat="1" ht="27.75" customHeight="1">
      <c r="A67" s="12" t="s">
        <v>73</v>
      </c>
      <c r="B67" s="167" t="s">
        <v>149</v>
      </c>
      <c r="C67" s="132"/>
      <c r="D67" s="132"/>
      <c r="E67" s="245"/>
      <c r="F67" s="132"/>
      <c r="G67" s="134"/>
      <c r="I67" s="26"/>
      <c r="J67" s="22"/>
      <c r="M67" s="30"/>
      <c r="N67" s="30"/>
      <c r="O67" s="30"/>
      <c r="Q67" s="135"/>
    </row>
    <row r="68" spans="1:17" s="7" customFormat="1" ht="15.95" customHeight="1">
      <c r="A68" s="20"/>
      <c r="B68" s="167"/>
      <c r="C68" s="169"/>
      <c r="D68" s="169"/>
      <c r="E68" s="247"/>
      <c r="F68" s="169"/>
      <c r="G68" s="170"/>
      <c r="H68" s="19"/>
      <c r="I68" s="26"/>
      <c r="J68" s="22"/>
      <c r="M68" s="30"/>
      <c r="N68" s="30"/>
      <c r="O68" s="30"/>
      <c r="Q68" s="171"/>
    </row>
    <row r="69" spans="1:17" s="7" customFormat="1" ht="15.95" customHeight="1">
      <c r="A69" s="8"/>
      <c r="B69" s="167" t="s">
        <v>23</v>
      </c>
      <c r="C69" s="219">
        <v>1</v>
      </c>
      <c r="D69" s="132"/>
      <c r="E69" s="246"/>
      <c r="F69" s="168"/>
      <c r="G69" s="220"/>
      <c r="H69" s="168"/>
      <c r="I69" s="26"/>
      <c r="J69" s="22"/>
      <c r="M69" s="30"/>
      <c r="N69" s="30"/>
      <c r="O69" s="30"/>
      <c r="Q69" s="135"/>
    </row>
    <row r="70" spans="1:17" s="7" customFormat="1" ht="15.95" customHeight="1">
      <c r="A70" s="8"/>
      <c r="B70" s="167"/>
      <c r="C70" s="207" t="s">
        <v>170</v>
      </c>
      <c r="D70" s="205"/>
      <c r="E70" s="235" t="s">
        <v>171</v>
      </c>
      <c r="F70" s="203"/>
      <c r="G70" s="208" t="s">
        <v>164</v>
      </c>
      <c r="H70" s="132"/>
      <c r="I70" s="26"/>
      <c r="J70" s="22"/>
      <c r="M70" s="30"/>
      <c r="N70" s="30"/>
      <c r="O70" s="30"/>
      <c r="Q70" s="135"/>
    </row>
    <row r="71" spans="1:17" s="7" customFormat="1" ht="15.95" customHeight="1">
      <c r="A71" s="12" t="s">
        <v>74</v>
      </c>
      <c r="B71" s="167" t="s">
        <v>150</v>
      </c>
      <c r="C71" s="132"/>
      <c r="D71" s="132"/>
      <c r="E71" s="245"/>
      <c r="F71" s="132"/>
      <c r="G71" s="134"/>
      <c r="I71" s="26"/>
      <c r="J71" s="22"/>
      <c r="M71" s="30"/>
      <c r="N71" s="30"/>
      <c r="O71" s="30"/>
      <c r="Q71" s="135"/>
    </row>
    <row r="72" spans="1:17" s="7" customFormat="1" ht="15.95" customHeight="1">
      <c r="A72" s="20"/>
      <c r="B72" s="167"/>
      <c r="C72" s="169"/>
      <c r="D72" s="169"/>
      <c r="E72" s="247"/>
      <c r="F72" s="169"/>
      <c r="G72" s="170"/>
      <c r="H72" s="19"/>
      <c r="I72" s="26"/>
      <c r="J72" s="22"/>
      <c r="M72" s="30"/>
      <c r="N72" s="30"/>
      <c r="O72" s="30"/>
      <c r="Q72" s="171"/>
    </row>
    <row r="73" spans="1:17" s="7" customFormat="1" ht="15.95" customHeight="1">
      <c r="A73" s="8"/>
      <c r="B73" s="167" t="s">
        <v>23</v>
      </c>
      <c r="C73" s="219">
        <v>1</v>
      </c>
      <c r="D73" s="132"/>
      <c r="E73" s="246"/>
      <c r="F73" s="168"/>
      <c r="G73" s="220"/>
      <c r="H73" s="168"/>
      <c r="I73" s="26"/>
      <c r="J73" s="22"/>
      <c r="M73" s="30"/>
      <c r="N73" s="30"/>
      <c r="O73" s="30"/>
      <c r="Q73" s="135"/>
    </row>
    <row r="74" spans="1:17" s="7" customFormat="1" ht="15.95" customHeight="1">
      <c r="A74" s="8"/>
      <c r="B74" s="167"/>
      <c r="C74" s="132"/>
      <c r="D74" s="132"/>
      <c r="E74" s="245"/>
      <c r="F74" s="132"/>
      <c r="G74" s="134"/>
      <c r="I74" s="26"/>
      <c r="J74" s="22"/>
      <c r="M74" s="30"/>
      <c r="N74" s="30"/>
      <c r="O74" s="30"/>
      <c r="Q74" s="135"/>
    </row>
    <row r="75" spans="1:17" s="7" customFormat="1" ht="31.5">
      <c r="A75" s="11"/>
      <c r="B75" s="174" t="s">
        <v>43</v>
      </c>
      <c r="C75" s="149"/>
      <c r="D75" s="149"/>
      <c r="E75" s="248"/>
      <c r="F75" s="149"/>
      <c r="G75" s="211"/>
      <c r="H75" s="149"/>
      <c r="I75" s="118"/>
      <c r="J75" s="22"/>
      <c r="M75" s="30"/>
      <c r="N75" s="30"/>
      <c r="O75" s="30"/>
      <c r="Q75" s="152"/>
    </row>
    <row r="76" spans="1:17" s="7" customFormat="1">
      <c r="A76" s="11"/>
      <c r="B76" s="174"/>
      <c r="C76" s="149"/>
      <c r="D76" s="149"/>
      <c r="E76" s="248"/>
      <c r="F76" s="149"/>
      <c r="G76" s="151"/>
      <c r="H76" s="149"/>
      <c r="I76" s="26"/>
      <c r="J76" s="22"/>
      <c r="M76" s="30"/>
      <c r="N76" s="30"/>
      <c r="O76" s="30"/>
      <c r="Q76" s="152"/>
    </row>
    <row r="77" spans="1:17" s="7" customFormat="1">
      <c r="A77" s="11" t="s">
        <v>32</v>
      </c>
      <c r="B77" s="9" t="s">
        <v>17</v>
      </c>
      <c r="C77" s="46"/>
      <c r="E77" s="237"/>
      <c r="G77" s="99"/>
      <c r="I77" s="26"/>
      <c r="J77" s="22"/>
      <c r="M77" s="30"/>
      <c r="N77" s="30"/>
      <c r="O77" s="30"/>
      <c r="Q77" s="91"/>
    </row>
    <row r="78" spans="1:17" s="7" customFormat="1">
      <c r="A78" s="11"/>
      <c r="B78" s="9"/>
      <c r="C78" s="46"/>
      <c r="E78" s="237"/>
      <c r="G78" s="99"/>
      <c r="I78" s="26"/>
      <c r="J78" s="22"/>
      <c r="M78" s="30"/>
      <c r="N78" s="30"/>
      <c r="O78" s="30"/>
      <c r="Q78" s="91"/>
    </row>
    <row r="79" spans="1:17" s="178" customFormat="1" ht="25.5">
      <c r="A79" s="12" t="s">
        <v>33</v>
      </c>
      <c r="B79" s="167" t="s">
        <v>151</v>
      </c>
      <c r="C79" s="132"/>
      <c r="D79" s="132"/>
      <c r="E79" s="245"/>
      <c r="F79" s="132"/>
      <c r="G79" s="134"/>
      <c r="H79" s="175"/>
      <c r="I79" s="176"/>
      <c r="J79" s="177"/>
      <c r="M79" s="179"/>
      <c r="N79" s="179"/>
      <c r="O79" s="179"/>
      <c r="Q79" s="135"/>
    </row>
    <row r="80" spans="1:17">
      <c r="A80" s="18"/>
      <c r="B80" s="167"/>
      <c r="C80" s="169"/>
      <c r="D80" s="169"/>
      <c r="E80" s="247"/>
      <c r="F80" s="169"/>
      <c r="G80" s="170"/>
      <c r="H80" s="178"/>
      <c r="Q80" s="171"/>
    </row>
    <row r="81" spans="1:11">
      <c r="B81" s="167" t="s">
        <v>20</v>
      </c>
      <c r="C81" s="219">
        <v>3.6</v>
      </c>
      <c r="E81" s="244"/>
      <c r="F81" s="168"/>
      <c r="G81" s="220"/>
      <c r="H81" s="168"/>
    </row>
    <row r="82" spans="1:11">
      <c r="B82" s="167"/>
      <c r="E82" s="245"/>
      <c r="H82" s="175"/>
    </row>
    <row r="83" spans="1:11" ht="51">
      <c r="A83" s="141" t="s">
        <v>34</v>
      </c>
      <c r="B83" s="167" t="s">
        <v>152</v>
      </c>
      <c r="E83" s="245"/>
      <c r="H83" s="175"/>
    </row>
    <row r="84" spans="1:11">
      <c r="B84" s="167"/>
      <c r="E84" s="245"/>
      <c r="H84" s="175"/>
    </row>
    <row r="85" spans="1:11">
      <c r="B85" s="167" t="s">
        <v>25</v>
      </c>
      <c r="C85" s="132">
        <f>16.965/0.09</f>
        <v>188.5</v>
      </c>
      <c r="E85" s="246"/>
      <c r="F85" s="168"/>
      <c r="G85" s="220"/>
      <c r="H85" s="168"/>
    </row>
    <row r="86" spans="1:11">
      <c r="B86" s="167"/>
      <c r="E86" s="245"/>
      <c r="H86" s="175"/>
    </row>
    <row r="87" spans="1:11" ht="25.5">
      <c r="A87" s="141" t="s">
        <v>36</v>
      </c>
      <c r="B87" s="167" t="s">
        <v>154</v>
      </c>
      <c r="E87" s="245"/>
      <c r="H87" s="175"/>
    </row>
    <row r="88" spans="1:11">
      <c r="B88" s="167"/>
      <c r="E88" s="245"/>
      <c r="H88" s="175"/>
    </row>
    <row r="89" spans="1:11" ht="25.5">
      <c r="B89" s="167" t="s">
        <v>141</v>
      </c>
      <c r="E89" s="245"/>
      <c r="H89" s="175"/>
    </row>
    <row r="90" spans="1:11">
      <c r="B90" s="167" t="s">
        <v>20</v>
      </c>
      <c r="C90" s="219">
        <f>223.91*0.8</f>
        <v>179.12800000000001</v>
      </c>
      <c r="E90" s="244"/>
      <c r="F90" s="168"/>
      <c r="G90" s="220"/>
      <c r="H90" s="168"/>
    </row>
    <row r="91" spans="1:11">
      <c r="B91" s="167"/>
      <c r="E91" s="245"/>
      <c r="H91" s="132"/>
      <c r="J91" s="137"/>
    </row>
    <row r="92" spans="1:11">
      <c r="B92" s="167" t="s">
        <v>142</v>
      </c>
      <c r="E92" s="245"/>
      <c r="H92" s="175"/>
    </row>
    <row r="93" spans="1:11">
      <c r="B93" s="167" t="s">
        <v>20</v>
      </c>
      <c r="C93" s="219">
        <f>223.91*0.2</f>
        <v>44.782000000000004</v>
      </c>
      <c r="E93" s="246"/>
      <c r="F93" s="168"/>
      <c r="G93" s="220"/>
      <c r="H93" s="168"/>
    </row>
    <row r="94" spans="1:11">
      <c r="B94" s="167"/>
      <c r="E94" s="245"/>
      <c r="H94" s="175"/>
    </row>
    <row r="95" spans="1:11" ht="38.25">
      <c r="A95" s="141" t="s">
        <v>37</v>
      </c>
      <c r="B95" s="167" t="s">
        <v>155</v>
      </c>
      <c r="E95" s="245"/>
      <c r="H95" s="175"/>
    </row>
    <row r="96" spans="1:11">
      <c r="B96" s="167"/>
      <c r="E96" s="245"/>
      <c r="H96" s="175"/>
      <c r="K96" s="153"/>
    </row>
    <row r="97" spans="1:17" ht="25.5">
      <c r="B97" s="167" t="s">
        <v>141</v>
      </c>
      <c r="E97" s="245"/>
      <c r="H97" s="175"/>
    </row>
    <row r="98" spans="1:17">
      <c r="B98" s="167" t="s">
        <v>20</v>
      </c>
      <c r="C98" s="219">
        <f>0.57*0.8</f>
        <v>0.45599999999999996</v>
      </c>
      <c r="E98" s="244"/>
      <c r="F98" s="168"/>
      <c r="G98" s="220"/>
      <c r="H98" s="168"/>
    </row>
    <row r="99" spans="1:17">
      <c r="B99" s="167"/>
      <c r="C99" s="173"/>
      <c r="E99" s="245"/>
      <c r="H99" s="132"/>
      <c r="J99" s="137"/>
    </row>
    <row r="100" spans="1:17">
      <c r="B100" s="167" t="s">
        <v>142</v>
      </c>
      <c r="E100" s="245"/>
      <c r="H100" s="175"/>
    </row>
    <row r="101" spans="1:17">
      <c r="B101" s="167" t="s">
        <v>20</v>
      </c>
      <c r="C101" s="219">
        <f>0.57*0.2</f>
        <v>0.11399999999999999</v>
      </c>
      <c r="E101" s="244"/>
      <c r="F101" s="168"/>
      <c r="G101" s="220"/>
      <c r="H101" s="168"/>
    </row>
    <row r="102" spans="1:17" s="183" customFormat="1">
      <c r="A102" s="184"/>
      <c r="B102" s="185"/>
      <c r="C102" s="180"/>
      <c r="D102" s="180"/>
      <c r="E102" s="245"/>
      <c r="F102" s="180"/>
      <c r="G102" s="134"/>
      <c r="H102" s="181"/>
      <c r="Q102" s="182"/>
    </row>
    <row r="103" spans="1:17" s="178" customFormat="1" ht="38.25">
      <c r="A103" s="141" t="s">
        <v>45</v>
      </c>
      <c r="B103" s="167" t="s">
        <v>38</v>
      </c>
      <c r="C103" s="132"/>
      <c r="D103" s="132"/>
      <c r="E103" s="245"/>
      <c r="F103" s="132"/>
      <c r="G103" s="134"/>
      <c r="H103" s="175"/>
      <c r="I103" s="176"/>
      <c r="J103" s="177"/>
      <c r="M103" s="179"/>
      <c r="N103" s="179"/>
      <c r="O103" s="179"/>
      <c r="Q103" s="135"/>
    </row>
    <row r="104" spans="1:17">
      <c r="B104" s="167"/>
      <c r="C104" s="169"/>
      <c r="D104" s="169"/>
      <c r="E104" s="245"/>
      <c r="F104" s="169"/>
      <c r="G104" s="170"/>
      <c r="H104" s="178"/>
      <c r="Q104" s="171"/>
    </row>
    <row r="105" spans="1:17">
      <c r="B105" s="167" t="s">
        <v>25</v>
      </c>
      <c r="C105" s="219">
        <f>C42*0.6</f>
        <v>99.6</v>
      </c>
      <c r="E105" s="246"/>
      <c r="G105" s="220"/>
      <c r="H105" s="132"/>
    </row>
    <row r="106" spans="1:17">
      <c r="B106" s="167"/>
      <c r="C106" s="207" t="s">
        <v>170</v>
      </c>
      <c r="D106" s="205"/>
      <c r="E106" s="235" t="s">
        <v>171</v>
      </c>
      <c r="F106" s="203"/>
      <c r="G106" s="208" t="s">
        <v>164</v>
      </c>
      <c r="H106" s="175"/>
    </row>
    <row r="107" spans="1:17" s="178" customFormat="1" ht="119.25" customHeight="1">
      <c r="A107" s="141" t="s">
        <v>46</v>
      </c>
      <c r="B107" s="52" t="s">
        <v>156</v>
      </c>
      <c r="C107" s="132"/>
      <c r="D107" s="132"/>
      <c r="E107" s="245"/>
      <c r="F107" s="132"/>
      <c r="G107" s="134"/>
      <c r="H107" s="175"/>
      <c r="I107" s="176"/>
      <c r="J107" s="177"/>
      <c r="M107" s="179"/>
      <c r="N107" s="179"/>
      <c r="O107" s="179"/>
      <c r="Q107" s="135"/>
    </row>
    <row r="108" spans="1:17">
      <c r="A108" s="186"/>
      <c r="B108" s="167"/>
      <c r="C108" s="169"/>
      <c r="D108" s="169"/>
      <c r="E108" s="245"/>
      <c r="F108" s="169"/>
      <c r="G108" s="170"/>
      <c r="H108" s="178"/>
      <c r="Q108" s="171"/>
    </row>
    <row r="109" spans="1:17">
      <c r="B109" s="167" t="s">
        <v>20</v>
      </c>
      <c r="C109" s="219">
        <v>13.9</v>
      </c>
      <c r="E109" s="246"/>
      <c r="G109" s="220"/>
      <c r="H109" s="132"/>
    </row>
    <row r="110" spans="1:17">
      <c r="B110" s="167"/>
      <c r="E110" s="245"/>
      <c r="H110" s="175"/>
    </row>
    <row r="111" spans="1:17" s="178" customFormat="1" ht="117.2" customHeight="1">
      <c r="A111" s="141" t="s">
        <v>47</v>
      </c>
      <c r="B111" s="167" t="s">
        <v>157</v>
      </c>
      <c r="C111" s="132"/>
      <c r="D111" s="132"/>
      <c r="E111" s="245"/>
      <c r="F111" s="132"/>
      <c r="G111" s="134"/>
      <c r="H111" s="175"/>
      <c r="I111" s="176"/>
      <c r="J111" s="177"/>
      <c r="M111" s="179"/>
      <c r="N111" s="179"/>
      <c r="O111" s="179"/>
      <c r="Q111" s="135"/>
    </row>
    <row r="112" spans="1:17">
      <c r="A112" s="186"/>
      <c r="B112" s="167"/>
      <c r="C112" s="169"/>
      <c r="D112" s="169"/>
      <c r="E112" s="245"/>
      <c r="F112" s="169"/>
      <c r="G112" s="170"/>
      <c r="H112" s="178"/>
      <c r="Q112" s="171"/>
    </row>
    <row r="113" spans="1:17">
      <c r="B113" s="167" t="s">
        <v>20</v>
      </c>
      <c r="C113" s="219">
        <v>48.7</v>
      </c>
      <c r="E113" s="246"/>
      <c r="G113" s="220"/>
      <c r="H113" s="132"/>
    </row>
    <row r="114" spans="1:17">
      <c r="B114" s="167"/>
      <c r="E114" s="245"/>
      <c r="H114" s="175"/>
    </row>
    <row r="115" spans="1:17" ht="96" customHeight="1">
      <c r="A115" s="141" t="s">
        <v>48</v>
      </c>
      <c r="B115" s="167" t="s">
        <v>158</v>
      </c>
      <c r="E115" s="245"/>
      <c r="H115" s="175"/>
    </row>
    <row r="116" spans="1:17">
      <c r="A116" s="186"/>
      <c r="B116" s="167"/>
      <c r="E116" s="245"/>
      <c r="H116" s="175"/>
    </row>
    <row r="117" spans="1:17">
      <c r="B117" s="167" t="s">
        <v>20</v>
      </c>
      <c r="C117" s="219">
        <f>123.36*0.88</f>
        <v>108.5568</v>
      </c>
      <c r="E117" s="246"/>
      <c r="G117" s="220"/>
      <c r="H117" s="132"/>
    </row>
    <row r="118" spans="1:17">
      <c r="B118" s="167"/>
      <c r="E118" s="245"/>
      <c r="H118" s="175"/>
    </row>
    <row r="119" spans="1:17" s="178" customFormat="1" ht="25.5">
      <c r="A119" s="141" t="s">
        <v>49</v>
      </c>
      <c r="B119" s="167" t="s">
        <v>159</v>
      </c>
      <c r="C119" s="132"/>
      <c r="D119" s="132"/>
      <c r="E119" s="245"/>
      <c r="F119" s="132"/>
      <c r="G119" s="134"/>
      <c r="H119" s="175"/>
      <c r="Q119" s="135"/>
    </row>
    <row r="120" spans="1:17">
      <c r="A120" s="186"/>
      <c r="B120" s="167"/>
      <c r="C120" s="169"/>
      <c r="D120" s="169"/>
      <c r="E120" s="245"/>
      <c r="F120" s="169"/>
      <c r="G120" s="170"/>
      <c r="H120" s="178"/>
      <c r="I120" s="136"/>
      <c r="J120" s="136"/>
      <c r="M120" s="136"/>
      <c r="N120" s="136"/>
      <c r="O120" s="136"/>
      <c r="Q120" s="171"/>
    </row>
    <row r="121" spans="1:17">
      <c r="B121" s="167" t="s">
        <v>20</v>
      </c>
      <c r="C121" s="219">
        <f>123.36*0.12</f>
        <v>14.803199999999999</v>
      </c>
      <c r="E121" s="246"/>
      <c r="G121" s="220"/>
      <c r="H121" s="132"/>
      <c r="I121" s="136"/>
      <c r="J121" s="136"/>
      <c r="M121" s="136"/>
      <c r="N121" s="136"/>
      <c r="O121" s="136"/>
    </row>
    <row r="122" spans="1:17">
      <c r="B122" s="167"/>
      <c r="E122" s="245"/>
      <c r="H122" s="175"/>
      <c r="I122" s="136"/>
      <c r="J122" s="136"/>
      <c r="M122" s="136"/>
      <c r="N122" s="136"/>
      <c r="O122" s="136"/>
    </row>
    <row r="123" spans="1:17" ht="63.75">
      <c r="A123" s="141" t="s">
        <v>50</v>
      </c>
      <c r="B123" s="167" t="s">
        <v>160</v>
      </c>
      <c r="E123" s="245"/>
      <c r="H123" s="175"/>
    </row>
    <row r="124" spans="1:17">
      <c r="A124" s="186"/>
      <c r="B124" s="167"/>
      <c r="E124" s="245"/>
      <c r="H124" s="175"/>
    </row>
    <row r="125" spans="1:17">
      <c r="B125" s="167" t="s">
        <v>20</v>
      </c>
      <c r="C125" s="219">
        <v>37.6</v>
      </c>
      <c r="E125" s="246"/>
      <c r="G125" s="220"/>
      <c r="H125" s="132"/>
      <c r="K125" s="37"/>
    </row>
    <row r="126" spans="1:17">
      <c r="B126" s="167"/>
      <c r="C126" s="207" t="s">
        <v>170</v>
      </c>
      <c r="D126" s="205"/>
      <c r="E126" s="235" t="s">
        <v>171</v>
      </c>
      <c r="F126" s="203"/>
      <c r="G126" s="208" t="s">
        <v>164</v>
      </c>
      <c r="H126" s="175"/>
    </row>
    <row r="127" spans="1:17" ht="331.5" customHeight="1">
      <c r="A127" s="141" t="s">
        <v>51</v>
      </c>
      <c r="B127" s="16" t="s">
        <v>93</v>
      </c>
      <c r="E127" s="245"/>
      <c r="H127" s="175"/>
    </row>
    <row r="128" spans="1:17">
      <c r="A128" s="186"/>
      <c r="B128" s="187"/>
      <c r="E128" s="245"/>
      <c r="H128" s="175"/>
    </row>
    <row r="129" spans="1:17">
      <c r="B129" s="167" t="s">
        <v>25</v>
      </c>
      <c r="C129" s="132">
        <f>C85</f>
        <v>188.5</v>
      </c>
      <c r="E129" s="244"/>
      <c r="G129" s="220"/>
      <c r="H129" s="132"/>
    </row>
    <row r="130" spans="1:17" s="38" customFormat="1">
      <c r="A130" s="43"/>
      <c r="B130" s="52"/>
      <c r="C130" s="41"/>
      <c r="D130" s="41"/>
      <c r="E130" s="231"/>
      <c r="F130" s="41"/>
      <c r="G130" s="97"/>
      <c r="H130" s="41"/>
      <c r="I130" s="36"/>
      <c r="J130" s="37"/>
      <c r="M130" s="39"/>
      <c r="N130" s="39"/>
      <c r="O130" s="39"/>
      <c r="Q130" s="82"/>
    </row>
    <row r="131" spans="1:17" s="38" customFormat="1" ht="55.7" customHeight="1">
      <c r="A131" s="43" t="s">
        <v>67</v>
      </c>
      <c r="B131" s="16" t="s">
        <v>249</v>
      </c>
      <c r="C131" s="41"/>
      <c r="D131" s="41"/>
      <c r="E131" s="231"/>
      <c r="F131" s="41"/>
      <c r="G131" s="97"/>
      <c r="H131" s="61"/>
      <c r="I131" s="36"/>
      <c r="J131" s="37"/>
      <c r="M131" s="39"/>
      <c r="N131" s="39"/>
      <c r="O131" s="39"/>
      <c r="Q131" s="82"/>
    </row>
    <row r="132" spans="1:17" s="38" customFormat="1">
      <c r="A132" s="71"/>
      <c r="B132" s="72"/>
      <c r="C132" s="41"/>
      <c r="D132" s="41"/>
      <c r="E132" s="231"/>
      <c r="F132" s="41"/>
      <c r="G132" s="97"/>
      <c r="H132" s="61"/>
      <c r="I132" s="36"/>
      <c r="J132" s="37"/>
      <c r="M132" s="39"/>
      <c r="N132" s="39"/>
      <c r="O132" s="39"/>
      <c r="Q132" s="82"/>
    </row>
    <row r="133" spans="1:17" s="38" customFormat="1">
      <c r="A133" s="43"/>
      <c r="B133" s="52" t="s">
        <v>25</v>
      </c>
      <c r="C133" s="214">
        <v>196.5</v>
      </c>
      <c r="D133" s="41"/>
      <c r="E133" s="232"/>
      <c r="F133" s="41"/>
      <c r="G133" s="213"/>
      <c r="H133" s="41"/>
      <c r="I133" s="36"/>
      <c r="J133" s="37"/>
      <c r="M133" s="39"/>
      <c r="N133" s="39"/>
      <c r="O133" s="39"/>
      <c r="Q133" s="82"/>
    </row>
    <row r="134" spans="1:17">
      <c r="B134" s="167"/>
      <c r="E134" s="245"/>
      <c r="H134" s="175"/>
    </row>
    <row r="135" spans="1:17" ht="25.5">
      <c r="A135" s="141" t="s">
        <v>63</v>
      </c>
      <c r="B135" s="187" t="s">
        <v>248</v>
      </c>
      <c r="E135" s="245"/>
      <c r="H135" s="175"/>
    </row>
    <row r="136" spans="1:17">
      <c r="A136" s="186"/>
      <c r="B136" s="187"/>
      <c r="E136" s="245"/>
      <c r="H136" s="175"/>
    </row>
    <row r="137" spans="1:17">
      <c r="B137" s="167" t="s">
        <v>25</v>
      </c>
      <c r="C137" s="132">
        <f>0.36/0.05</f>
        <v>7.1999999999999993</v>
      </c>
      <c r="E137" s="246"/>
      <c r="G137" s="220"/>
      <c r="H137" s="132"/>
    </row>
    <row r="138" spans="1:17">
      <c r="B138" s="167"/>
      <c r="E138" s="245"/>
      <c r="H138" s="175"/>
    </row>
    <row r="139" spans="1:17" ht="51">
      <c r="A139" s="141" t="s">
        <v>57</v>
      </c>
      <c r="B139" s="167" t="s">
        <v>161</v>
      </c>
      <c r="E139" s="245"/>
      <c r="H139" s="175"/>
    </row>
    <row r="140" spans="1:17">
      <c r="B140" s="167"/>
      <c r="E140" s="245"/>
      <c r="H140" s="175"/>
    </row>
    <row r="141" spans="1:17">
      <c r="B141" s="167" t="s">
        <v>20</v>
      </c>
      <c r="C141" s="219">
        <f>(224.48-C121)*1.3</f>
        <v>272.57983999999999</v>
      </c>
      <c r="E141" s="246"/>
      <c r="G141" s="220"/>
      <c r="H141" s="132"/>
    </row>
    <row r="142" spans="1:17">
      <c r="B142" s="167"/>
      <c r="E142" s="245"/>
      <c r="H142" s="175"/>
    </row>
    <row r="143" spans="1:17" ht="51">
      <c r="A143" s="141" t="s">
        <v>58</v>
      </c>
      <c r="B143" s="167" t="s">
        <v>162</v>
      </c>
      <c r="E143" s="245"/>
      <c r="H143" s="175"/>
    </row>
    <row r="144" spans="1:17">
      <c r="B144" s="167"/>
      <c r="E144" s="245"/>
      <c r="H144" s="175"/>
    </row>
    <row r="145" spans="1:17">
      <c r="B145" s="167" t="s">
        <v>25</v>
      </c>
      <c r="C145" s="219">
        <f>C81/0.15</f>
        <v>24</v>
      </c>
      <c r="E145" s="246"/>
      <c r="G145" s="220"/>
      <c r="H145" s="132"/>
    </row>
    <row r="146" spans="1:17">
      <c r="B146" s="167"/>
      <c r="C146" s="207" t="s">
        <v>170</v>
      </c>
      <c r="D146" s="205"/>
      <c r="E146" s="235" t="s">
        <v>171</v>
      </c>
      <c r="F146" s="203"/>
      <c r="G146" s="208" t="s">
        <v>164</v>
      </c>
      <c r="H146" s="175"/>
    </row>
    <row r="147" spans="1:17" ht="25.5">
      <c r="A147" s="141" t="s">
        <v>64</v>
      </c>
      <c r="B147" s="167" t="s">
        <v>163</v>
      </c>
      <c r="E147" s="245"/>
      <c r="H147" s="175"/>
    </row>
    <row r="148" spans="1:17">
      <c r="B148" s="167"/>
      <c r="E148" s="245"/>
      <c r="H148" s="175"/>
    </row>
    <row r="149" spans="1:17">
      <c r="B149" s="167" t="s">
        <v>41</v>
      </c>
      <c r="C149" s="219">
        <v>2</v>
      </c>
      <c r="E149" s="246"/>
      <c r="G149" s="220"/>
      <c r="H149" s="132"/>
    </row>
    <row r="150" spans="1:17">
      <c r="B150" s="167"/>
      <c r="E150" s="245"/>
      <c r="H150" s="175"/>
    </row>
    <row r="151" spans="1:17" s="178" customFormat="1" ht="63.75">
      <c r="A151" s="141" t="s">
        <v>65</v>
      </c>
      <c r="B151" s="167" t="s">
        <v>7</v>
      </c>
      <c r="C151" s="132"/>
      <c r="D151" s="132"/>
      <c r="E151" s="245"/>
      <c r="F151" s="132"/>
      <c r="G151" s="134"/>
      <c r="H151" s="175"/>
      <c r="I151" s="176"/>
      <c r="J151" s="177"/>
      <c r="M151" s="179"/>
      <c r="N151" s="179"/>
      <c r="O151" s="179"/>
      <c r="Q151" s="135"/>
    </row>
    <row r="152" spans="1:17">
      <c r="B152" s="167"/>
      <c r="C152" s="169"/>
      <c r="D152" s="169"/>
      <c r="E152" s="247"/>
      <c r="F152" s="169"/>
      <c r="G152" s="170"/>
      <c r="H152" s="178"/>
      <c r="Q152" s="171"/>
    </row>
    <row r="153" spans="1:17">
      <c r="B153" s="167" t="s">
        <v>39</v>
      </c>
      <c r="E153" s="245"/>
      <c r="G153" s="220"/>
      <c r="H153" s="132"/>
    </row>
    <row r="154" spans="1:17">
      <c r="B154" s="167"/>
      <c r="E154" s="245"/>
      <c r="H154" s="175"/>
    </row>
    <row r="155" spans="1:17" s="7" customFormat="1">
      <c r="A155" s="141"/>
      <c r="B155" s="174" t="s">
        <v>21</v>
      </c>
      <c r="C155" s="163"/>
      <c r="D155" s="163"/>
      <c r="E155" s="249"/>
      <c r="F155" s="163"/>
      <c r="G155" s="211"/>
      <c r="H155" s="149"/>
      <c r="I155" s="26"/>
      <c r="J155" s="22"/>
      <c r="M155" s="30"/>
      <c r="N155" s="30"/>
      <c r="O155" s="30"/>
      <c r="Q155" s="166"/>
    </row>
    <row r="156" spans="1:17">
      <c r="B156" s="167"/>
      <c r="E156" s="245"/>
      <c r="H156" s="175"/>
    </row>
    <row r="157" spans="1:17" s="38" customFormat="1">
      <c r="A157" s="11" t="s">
        <v>42</v>
      </c>
      <c r="B157" s="9" t="s">
        <v>18</v>
      </c>
      <c r="C157" s="46"/>
      <c r="D157" s="7"/>
      <c r="E157" s="237"/>
      <c r="F157" s="7"/>
      <c r="G157" s="99"/>
      <c r="H157" s="7"/>
      <c r="I157" s="36"/>
      <c r="J157" s="37"/>
      <c r="M157" s="39"/>
      <c r="N157" s="39"/>
      <c r="O157" s="39"/>
      <c r="Q157" s="91"/>
    </row>
    <row r="158" spans="1:17" s="38" customFormat="1">
      <c r="A158" s="11"/>
      <c r="B158" s="9"/>
      <c r="C158" s="46"/>
      <c r="D158" s="7"/>
      <c r="E158" s="237"/>
      <c r="F158" s="7"/>
      <c r="G158" s="99"/>
      <c r="H158" s="7"/>
      <c r="I158" s="36"/>
      <c r="J158" s="37"/>
      <c r="M158" s="39"/>
      <c r="N158" s="39"/>
      <c r="O158" s="39"/>
      <c r="Q158" s="91"/>
    </row>
    <row r="159" spans="1:17" s="5" customFormat="1" ht="153">
      <c r="A159" s="6" t="s">
        <v>178</v>
      </c>
      <c r="B159" s="73" t="s">
        <v>202</v>
      </c>
      <c r="C159" s="2"/>
      <c r="D159" s="2"/>
      <c r="E159" s="231"/>
      <c r="F159" s="2"/>
      <c r="G159" s="105"/>
      <c r="H159" s="15"/>
      <c r="K159" s="73"/>
      <c r="Q159" s="89"/>
    </row>
    <row r="160" spans="1:17" s="5" customFormat="1">
      <c r="A160" s="6"/>
      <c r="B160" s="10"/>
      <c r="C160" s="2"/>
      <c r="D160" s="2"/>
      <c r="E160" s="231"/>
      <c r="F160" s="2"/>
      <c r="G160" s="105"/>
      <c r="H160" s="15"/>
      <c r="Q160" s="89"/>
    </row>
    <row r="161" spans="1:17" s="5" customFormat="1">
      <c r="A161" s="6"/>
      <c r="B161" s="10" t="s">
        <v>71</v>
      </c>
      <c r="C161" s="217">
        <v>50</v>
      </c>
      <c r="D161" s="2"/>
      <c r="E161" s="232"/>
      <c r="F161" s="2"/>
      <c r="G161" s="218"/>
      <c r="H161" s="2"/>
      <c r="J161" s="122"/>
      <c r="Q161" s="89"/>
    </row>
    <row r="162" spans="1:17">
      <c r="B162" s="167"/>
      <c r="H162" s="132"/>
    </row>
    <row r="163" spans="1:17" s="38" customFormat="1">
      <c r="A163" s="43"/>
      <c r="B163" s="48" t="s">
        <v>24</v>
      </c>
      <c r="C163" s="56"/>
      <c r="D163" s="56"/>
      <c r="E163" s="112"/>
      <c r="F163" s="56"/>
      <c r="G163" s="100"/>
      <c r="I163" s="36"/>
      <c r="J163" s="37"/>
      <c r="M163" s="39"/>
      <c r="N163" s="39"/>
      <c r="O163" s="39"/>
      <c r="Q163" s="86"/>
    </row>
    <row r="164" spans="1:17">
      <c r="B164" s="167"/>
      <c r="H164" s="175"/>
    </row>
    <row r="165" spans="1:17">
      <c r="B165" s="167"/>
      <c r="C165" s="173"/>
      <c r="H165" s="132"/>
      <c r="Q165" s="188"/>
    </row>
    <row r="166" spans="1:17">
      <c r="B166" s="167"/>
      <c r="C166" s="173"/>
      <c r="H166" s="132"/>
    </row>
    <row r="167" spans="1:17">
      <c r="B167" s="189"/>
      <c r="H167" s="175"/>
    </row>
    <row r="168" spans="1:17">
      <c r="B168" s="167"/>
      <c r="H168" s="175"/>
    </row>
    <row r="169" spans="1:17">
      <c r="B169" s="167"/>
      <c r="C169" s="173"/>
      <c r="H169" s="132"/>
    </row>
    <row r="170" spans="1:17">
      <c r="B170" s="167"/>
      <c r="H170" s="132"/>
    </row>
    <row r="171" spans="1:17">
      <c r="B171" s="167"/>
      <c r="H171" s="132"/>
    </row>
    <row r="172" spans="1:17" ht="94.5" customHeight="1">
      <c r="B172" s="189"/>
      <c r="H172" s="175"/>
      <c r="K172" s="10"/>
      <c r="M172" s="189"/>
    </row>
    <row r="173" spans="1:17">
      <c r="B173" s="167"/>
      <c r="H173" s="175"/>
      <c r="K173" s="153"/>
      <c r="L173" s="153"/>
    </row>
    <row r="174" spans="1:17">
      <c r="B174" s="167"/>
      <c r="C174" s="173"/>
      <c r="H174" s="132"/>
    </row>
    <row r="175" spans="1:17">
      <c r="B175" s="167"/>
      <c r="C175" s="173"/>
      <c r="H175" s="132"/>
    </row>
    <row r="176" spans="1:17" ht="111" customHeight="1">
      <c r="B176" s="189"/>
      <c r="H176" s="175"/>
      <c r="K176" s="10"/>
      <c r="M176" s="189"/>
    </row>
    <row r="177" spans="1:17">
      <c r="B177" s="167"/>
      <c r="H177" s="175"/>
    </row>
    <row r="178" spans="1:17">
      <c r="B178" s="167"/>
      <c r="C178" s="173"/>
      <c r="E178" s="135"/>
      <c r="H178" s="132"/>
    </row>
    <row r="179" spans="1:17">
      <c r="B179" s="167"/>
      <c r="C179" s="173"/>
      <c r="H179" s="132"/>
    </row>
    <row r="180" spans="1:17">
      <c r="B180" s="189"/>
      <c r="H180" s="175"/>
      <c r="K180" s="10"/>
    </row>
    <row r="181" spans="1:17">
      <c r="B181" s="167"/>
      <c r="H181" s="175"/>
    </row>
    <row r="182" spans="1:17">
      <c r="B182" s="167"/>
      <c r="C182" s="173"/>
      <c r="E182" s="135"/>
      <c r="H182" s="132"/>
    </row>
    <row r="183" spans="1:17">
      <c r="B183" s="167"/>
      <c r="C183" s="173"/>
      <c r="H183" s="132"/>
    </row>
    <row r="184" spans="1:17">
      <c r="B184" s="189"/>
      <c r="H184" s="175"/>
      <c r="K184" s="10"/>
      <c r="M184" s="189"/>
    </row>
    <row r="185" spans="1:17">
      <c r="B185" s="167"/>
      <c r="H185" s="175"/>
    </row>
    <row r="186" spans="1:17">
      <c r="B186" s="167"/>
      <c r="C186" s="173"/>
      <c r="E186" s="135"/>
      <c r="H186" s="132"/>
    </row>
    <row r="187" spans="1:17">
      <c r="A187" s="11"/>
      <c r="B187" s="9"/>
      <c r="C187" s="46"/>
      <c r="D187" s="7"/>
      <c r="F187" s="7"/>
      <c r="G187" s="99"/>
      <c r="H187" s="7"/>
      <c r="Q187" s="91"/>
    </row>
    <row r="188" spans="1:17">
      <c r="B188" s="189"/>
      <c r="H188" s="175"/>
      <c r="K188" s="10"/>
    </row>
    <row r="189" spans="1:17">
      <c r="B189" s="167"/>
      <c r="H189" s="175"/>
    </row>
    <row r="190" spans="1:17">
      <c r="B190" s="167"/>
      <c r="C190" s="173"/>
      <c r="E190" s="135"/>
      <c r="H190" s="132"/>
    </row>
    <row r="191" spans="1:17">
      <c r="B191" s="167"/>
      <c r="C191" s="173"/>
      <c r="H191" s="132"/>
    </row>
    <row r="192" spans="1:17">
      <c r="B192" s="189"/>
      <c r="H192" s="175"/>
      <c r="K192" s="10"/>
    </row>
    <row r="193" spans="2:17">
      <c r="B193" s="167"/>
      <c r="H193" s="175"/>
    </row>
    <row r="194" spans="2:17">
      <c r="B194" s="167"/>
      <c r="C194" s="173"/>
      <c r="H194" s="132"/>
    </row>
    <row r="195" spans="2:17">
      <c r="B195" s="167"/>
      <c r="C195" s="173"/>
      <c r="H195" s="132"/>
      <c r="Q195" s="188"/>
    </row>
    <row r="196" spans="2:17">
      <c r="B196" s="189"/>
      <c r="H196" s="175"/>
    </row>
    <row r="197" spans="2:17">
      <c r="B197" s="167"/>
      <c r="H197" s="175"/>
    </row>
    <row r="198" spans="2:17">
      <c r="B198" s="167"/>
      <c r="C198" s="173"/>
      <c r="E198" s="135"/>
      <c r="H198" s="132"/>
    </row>
    <row r="199" spans="2:17">
      <c r="B199" s="167"/>
      <c r="C199" s="173"/>
      <c r="H199" s="132"/>
      <c r="Q199" s="188"/>
    </row>
    <row r="200" spans="2:17">
      <c r="B200" s="189"/>
      <c r="H200" s="175"/>
    </row>
    <row r="201" spans="2:17">
      <c r="B201" s="167"/>
      <c r="H201" s="175"/>
    </row>
    <row r="202" spans="2:17">
      <c r="B202" s="167"/>
      <c r="C202" s="173"/>
      <c r="H202" s="132"/>
    </row>
    <row r="203" spans="2:17">
      <c r="B203" s="167"/>
      <c r="C203" s="173"/>
      <c r="H203" s="132"/>
    </row>
    <row r="204" spans="2:17">
      <c r="B204" s="189"/>
      <c r="H204" s="175"/>
      <c r="K204" s="167"/>
    </row>
    <row r="205" spans="2:17">
      <c r="B205" s="167"/>
      <c r="H205" s="175"/>
    </row>
    <row r="206" spans="2:17">
      <c r="B206" s="167"/>
      <c r="C206" s="173"/>
      <c r="E206" s="135"/>
      <c r="H206" s="132"/>
    </row>
    <row r="207" spans="2:17">
      <c r="B207" s="167"/>
      <c r="C207" s="173"/>
      <c r="H207" s="132"/>
    </row>
    <row r="208" spans="2:17">
      <c r="B208" s="189"/>
      <c r="H208" s="175"/>
    </row>
    <row r="209" spans="1:17">
      <c r="B209" s="167"/>
      <c r="H209" s="175"/>
      <c r="K209" s="190"/>
    </row>
    <row r="210" spans="1:17" s="137" customFormat="1">
      <c r="A210" s="141"/>
      <c r="B210" s="167"/>
      <c r="C210" s="173"/>
      <c r="D210" s="132"/>
      <c r="E210" s="135"/>
      <c r="F210" s="132"/>
      <c r="G210" s="134"/>
      <c r="H210" s="132"/>
      <c r="J210" s="138"/>
      <c r="K210" s="136"/>
      <c r="L210" s="136"/>
      <c r="M210" s="139"/>
      <c r="N210" s="139"/>
      <c r="O210" s="139"/>
      <c r="P210" s="136"/>
      <c r="Q210" s="135"/>
    </row>
    <row r="211" spans="1:17" s="137" customFormat="1">
      <c r="A211" s="141"/>
      <c r="B211" s="167"/>
      <c r="C211" s="132"/>
      <c r="D211" s="132"/>
      <c r="E211" s="191"/>
      <c r="F211" s="132"/>
      <c r="G211" s="134"/>
      <c r="H211" s="132"/>
      <c r="J211" s="138"/>
      <c r="K211" s="136"/>
      <c r="L211" s="136"/>
      <c r="M211" s="139"/>
      <c r="N211" s="139"/>
      <c r="O211" s="139"/>
      <c r="P211" s="136"/>
      <c r="Q211" s="135"/>
    </row>
    <row r="212" spans="1:17" s="137" customFormat="1" ht="80.25" customHeight="1">
      <c r="A212" s="141"/>
      <c r="B212" s="189"/>
      <c r="C212" s="132"/>
      <c r="D212" s="132"/>
      <c r="E212" s="191"/>
      <c r="F212" s="132"/>
      <c r="G212" s="134"/>
      <c r="H212" s="175"/>
      <c r="J212" s="138"/>
      <c r="K212" s="136"/>
      <c r="L212" s="136"/>
      <c r="M212" s="139"/>
      <c r="N212" s="139"/>
      <c r="O212" s="139"/>
      <c r="P212" s="136"/>
      <c r="Q212" s="135"/>
    </row>
    <row r="213" spans="1:17" s="137" customFormat="1">
      <c r="A213" s="141"/>
      <c r="B213" s="167"/>
      <c r="C213" s="132"/>
      <c r="D213" s="132"/>
      <c r="E213" s="191"/>
      <c r="F213" s="132"/>
      <c r="G213" s="134"/>
      <c r="H213" s="175"/>
      <c r="J213" s="138"/>
      <c r="K213" s="136"/>
      <c r="L213" s="136"/>
      <c r="M213" s="139"/>
      <c r="N213" s="139"/>
      <c r="O213" s="139"/>
      <c r="P213" s="136"/>
      <c r="Q213" s="135"/>
    </row>
    <row r="214" spans="1:17" s="137" customFormat="1">
      <c r="A214" s="141"/>
      <c r="B214" s="167"/>
      <c r="C214" s="173"/>
      <c r="D214" s="132"/>
      <c r="E214" s="135"/>
      <c r="F214" s="132"/>
      <c r="G214" s="134"/>
      <c r="H214" s="132"/>
      <c r="J214" s="138"/>
      <c r="K214" s="136"/>
      <c r="L214" s="136"/>
      <c r="M214" s="139"/>
      <c r="N214" s="139"/>
      <c r="O214" s="139"/>
      <c r="P214" s="136"/>
      <c r="Q214" s="135"/>
    </row>
    <row r="215" spans="1:17" s="137" customFormat="1">
      <c r="A215" s="141"/>
      <c r="B215" s="167"/>
      <c r="C215" s="173"/>
      <c r="D215" s="132"/>
      <c r="E215" s="191"/>
      <c r="F215" s="132"/>
      <c r="G215" s="134"/>
      <c r="H215" s="132"/>
      <c r="J215" s="138"/>
      <c r="K215" s="136"/>
      <c r="L215" s="136"/>
      <c r="M215" s="139"/>
      <c r="N215" s="139"/>
      <c r="O215" s="139"/>
      <c r="P215" s="136"/>
      <c r="Q215" s="135"/>
    </row>
    <row r="216" spans="1:17" s="137" customFormat="1">
      <c r="A216" s="141"/>
      <c r="B216" s="189"/>
      <c r="C216" s="132"/>
      <c r="D216" s="132"/>
      <c r="E216" s="191"/>
      <c r="F216" s="132"/>
      <c r="G216" s="134"/>
      <c r="H216" s="175"/>
      <c r="J216" s="138"/>
      <c r="K216" s="136"/>
      <c r="L216" s="136"/>
      <c r="M216" s="139"/>
      <c r="N216" s="139"/>
      <c r="O216" s="139"/>
      <c r="P216" s="136"/>
      <c r="Q216" s="135"/>
    </row>
    <row r="217" spans="1:17" s="137" customFormat="1">
      <c r="A217" s="141"/>
      <c r="B217" s="167"/>
      <c r="C217" s="132"/>
      <c r="D217" s="132"/>
      <c r="E217" s="191"/>
      <c r="F217" s="132"/>
      <c r="G217" s="134"/>
      <c r="H217" s="175"/>
      <c r="J217" s="138"/>
      <c r="K217" s="136"/>
      <c r="L217" s="136"/>
      <c r="M217" s="139"/>
      <c r="N217" s="139"/>
      <c r="O217" s="139"/>
      <c r="P217" s="136"/>
      <c r="Q217" s="135"/>
    </row>
    <row r="218" spans="1:17" s="137" customFormat="1">
      <c r="A218" s="141"/>
      <c r="B218" s="167"/>
      <c r="C218" s="173"/>
      <c r="D218" s="132"/>
      <c r="E218" s="135"/>
      <c r="F218" s="132"/>
      <c r="G218" s="134"/>
      <c r="H218" s="132"/>
      <c r="J218" s="138"/>
      <c r="K218" s="136"/>
      <c r="L218" s="136"/>
      <c r="M218" s="139"/>
      <c r="N218" s="139"/>
      <c r="O218" s="139"/>
      <c r="P218" s="136"/>
      <c r="Q218" s="135"/>
    </row>
    <row r="219" spans="1:17" s="137" customFormat="1">
      <c r="A219" s="141"/>
      <c r="B219" s="167"/>
      <c r="C219" s="173"/>
      <c r="D219" s="132"/>
      <c r="E219" s="133"/>
      <c r="F219" s="132"/>
      <c r="G219" s="134"/>
      <c r="H219" s="132"/>
      <c r="J219" s="138"/>
      <c r="K219" s="136"/>
      <c r="L219" s="136"/>
      <c r="M219" s="139"/>
      <c r="N219" s="139"/>
      <c r="O219" s="139"/>
      <c r="P219" s="136"/>
      <c r="Q219" s="135"/>
    </row>
    <row r="220" spans="1:17" s="137" customFormat="1">
      <c r="A220" s="141"/>
      <c r="B220" s="189"/>
      <c r="C220" s="132"/>
      <c r="D220" s="132"/>
      <c r="E220" s="191"/>
      <c r="F220" s="132"/>
      <c r="G220" s="134"/>
      <c r="H220" s="175"/>
      <c r="J220" s="138"/>
      <c r="K220" s="136"/>
      <c r="L220" s="136"/>
      <c r="M220" s="139"/>
      <c r="N220" s="139"/>
      <c r="O220" s="139"/>
      <c r="P220" s="136"/>
      <c r="Q220" s="135"/>
    </row>
    <row r="221" spans="1:17" s="137" customFormat="1">
      <c r="A221" s="141"/>
      <c r="B221" s="167"/>
      <c r="C221" s="132"/>
      <c r="D221" s="132"/>
      <c r="E221" s="191"/>
      <c r="F221" s="132"/>
      <c r="G221" s="134"/>
      <c r="H221" s="175"/>
      <c r="J221" s="138"/>
      <c r="K221" s="136"/>
      <c r="L221" s="136"/>
      <c r="M221" s="139"/>
      <c r="N221" s="139"/>
      <c r="O221" s="139"/>
      <c r="P221" s="136"/>
      <c r="Q221" s="135"/>
    </row>
    <row r="222" spans="1:17" s="137" customFormat="1">
      <c r="A222" s="141"/>
      <c r="B222" s="167"/>
      <c r="C222" s="173"/>
      <c r="D222" s="132"/>
      <c r="E222" s="135"/>
      <c r="F222" s="132"/>
      <c r="G222" s="134"/>
      <c r="H222" s="132"/>
      <c r="J222" s="138"/>
      <c r="K222" s="136"/>
      <c r="L222" s="136"/>
      <c r="M222" s="139"/>
      <c r="N222" s="139"/>
      <c r="O222" s="139"/>
      <c r="P222" s="136"/>
      <c r="Q222" s="135"/>
    </row>
    <row r="223" spans="1:17" s="137" customFormat="1">
      <c r="A223" s="141"/>
      <c r="B223" s="167"/>
      <c r="C223" s="132"/>
      <c r="D223" s="132"/>
      <c r="E223" s="191"/>
      <c r="F223" s="132"/>
      <c r="G223" s="134"/>
      <c r="H223" s="132"/>
      <c r="J223" s="138"/>
      <c r="K223" s="136"/>
      <c r="L223" s="136"/>
      <c r="M223" s="139"/>
      <c r="N223" s="139"/>
      <c r="O223" s="139"/>
      <c r="P223" s="136"/>
      <c r="Q223" s="135"/>
    </row>
    <row r="224" spans="1:17" s="137" customFormat="1">
      <c r="A224" s="141"/>
      <c r="B224" s="189"/>
      <c r="C224" s="132"/>
      <c r="D224" s="132"/>
      <c r="E224" s="133"/>
      <c r="F224" s="132"/>
      <c r="G224" s="134"/>
      <c r="H224" s="175"/>
      <c r="J224" s="138"/>
      <c r="K224" s="136"/>
      <c r="L224" s="136"/>
      <c r="M224" s="139"/>
      <c r="N224" s="139"/>
      <c r="O224" s="139"/>
      <c r="P224" s="136"/>
      <c r="Q224" s="135"/>
    </row>
    <row r="225" spans="1:17" s="137" customFormat="1">
      <c r="A225" s="141"/>
      <c r="B225" s="167"/>
      <c r="C225" s="132"/>
      <c r="D225" s="132"/>
      <c r="E225" s="133"/>
      <c r="F225" s="132"/>
      <c r="G225" s="134"/>
      <c r="H225" s="175"/>
      <c r="J225" s="138"/>
      <c r="K225" s="136"/>
      <c r="L225" s="136"/>
      <c r="M225" s="139"/>
      <c r="N225" s="139"/>
      <c r="O225" s="139"/>
      <c r="P225" s="136"/>
      <c r="Q225" s="135"/>
    </row>
    <row r="226" spans="1:17" s="137" customFormat="1">
      <c r="A226" s="141"/>
      <c r="B226" s="167"/>
      <c r="C226" s="173"/>
      <c r="D226" s="132"/>
      <c r="E226" s="135"/>
      <c r="F226" s="132"/>
      <c r="G226" s="134"/>
      <c r="H226" s="132"/>
      <c r="J226" s="138"/>
      <c r="K226" s="136"/>
      <c r="L226" s="136"/>
      <c r="M226" s="139"/>
      <c r="N226" s="139"/>
      <c r="O226" s="139"/>
      <c r="P226" s="136"/>
      <c r="Q226" s="135"/>
    </row>
    <row r="227" spans="1:17" s="137" customFormat="1">
      <c r="A227" s="141"/>
      <c r="B227" s="167"/>
      <c r="C227" s="132"/>
      <c r="D227" s="132"/>
      <c r="E227" s="191"/>
      <c r="F227" s="132"/>
      <c r="G227" s="134"/>
      <c r="H227" s="132"/>
      <c r="J227" s="138"/>
      <c r="K227" s="136"/>
      <c r="L227" s="136"/>
      <c r="M227" s="139"/>
      <c r="N227" s="139"/>
      <c r="O227" s="139"/>
      <c r="P227" s="136"/>
      <c r="Q227" s="135"/>
    </row>
    <row r="228" spans="1:17" s="137" customFormat="1" ht="80.25" customHeight="1">
      <c r="A228" s="141"/>
      <c r="B228" s="189"/>
      <c r="C228" s="132"/>
      <c r="D228" s="132"/>
      <c r="E228" s="191"/>
      <c r="F228" s="132"/>
      <c r="G228" s="134"/>
      <c r="H228" s="175"/>
      <c r="J228" s="138"/>
      <c r="K228" s="136"/>
      <c r="L228" s="136"/>
      <c r="M228" s="139"/>
      <c r="N228" s="139"/>
      <c r="O228" s="139"/>
      <c r="P228" s="136"/>
      <c r="Q228" s="135"/>
    </row>
    <row r="229" spans="1:17" s="137" customFormat="1">
      <c r="A229" s="141"/>
      <c r="B229" s="167"/>
      <c r="C229" s="132"/>
      <c r="D229" s="132"/>
      <c r="E229" s="191"/>
      <c r="F229" s="132"/>
      <c r="G229" s="134"/>
      <c r="H229" s="175"/>
      <c r="J229" s="138"/>
      <c r="K229" s="136"/>
      <c r="L229" s="136"/>
      <c r="M229" s="139"/>
      <c r="N229" s="139"/>
      <c r="O229" s="139"/>
      <c r="P229" s="136"/>
      <c r="Q229" s="135"/>
    </row>
    <row r="230" spans="1:17" s="137" customFormat="1">
      <c r="A230" s="141"/>
      <c r="B230" s="167"/>
      <c r="C230" s="173"/>
      <c r="D230" s="132"/>
      <c r="E230" s="135"/>
      <c r="F230" s="132"/>
      <c r="G230" s="134"/>
      <c r="H230" s="132"/>
      <c r="J230" s="138"/>
      <c r="K230" s="136"/>
      <c r="L230" s="136"/>
      <c r="M230" s="139"/>
      <c r="N230" s="139"/>
      <c r="O230" s="139"/>
      <c r="P230" s="136"/>
      <c r="Q230" s="135"/>
    </row>
    <row r="231" spans="1:17" s="137" customFormat="1">
      <c r="A231" s="141"/>
      <c r="B231" s="167"/>
      <c r="C231" s="132"/>
      <c r="D231" s="132"/>
      <c r="E231" s="191"/>
      <c r="F231" s="132"/>
      <c r="G231" s="134"/>
      <c r="H231" s="132"/>
      <c r="J231" s="138"/>
      <c r="K231" s="136"/>
      <c r="L231" s="136"/>
      <c r="M231" s="139"/>
      <c r="N231" s="139"/>
      <c r="O231" s="139"/>
      <c r="P231" s="136"/>
      <c r="Q231" s="135"/>
    </row>
    <row r="232" spans="1:17" s="137" customFormat="1" ht="54.75" customHeight="1">
      <c r="A232" s="141"/>
      <c r="B232" s="189"/>
      <c r="C232" s="132"/>
      <c r="D232" s="132"/>
      <c r="E232" s="133"/>
      <c r="F232" s="132"/>
      <c r="G232" s="134"/>
      <c r="H232" s="175"/>
      <c r="J232" s="138"/>
      <c r="K232" s="136"/>
      <c r="L232" s="136"/>
      <c r="M232" s="139"/>
      <c r="N232" s="139"/>
      <c r="O232" s="139"/>
      <c r="P232" s="136"/>
      <c r="Q232" s="135"/>
    </row>
    <row r="233" spans="1:17" s="137" customFormat="1">
      <c r="A233" s="141"/>
      <c r="B233" s="167"/>
      <c r="C233" s="132"/>
      <c r="D233" s="132"/>
      <c r="E233" s="133"/>
      <c r="F233" s="132"/>
      <c r="G233" s="134"/>
      <c r="H233" s="175"/>
      <c r="J233" s="138"/>
      <c r="K233" s="136"/>
      <c r="L233" s="136"/>
      <c r="M233" s="139"/>
      <c r="N233" s="139"/>
      <c r="O233" s="139"/>
      <c r="P233" s="136"/>
      <c r="Q233" s="135"/>
    </row>
    <row r="234" spans="1:17" s="137" customFormat="1">
      <c r="A234" s="141"/>
      <c r="B234" s="167"/>
      <c r="C234" s="173"/>
      <c r="D234" s="132"/>
      <c r="E234" s="135"/>
      <c r="F234" s="132"/>
      <c r="G234" s="134"/>
      <c r="H234" s="132"/>
      <c r="J234" s="138"/>
      <c r="K234" s="136"/>
      <c r="L234" s="136"/>
      <c r="M234" s="139"/>
      <c r="N234" s="139"/>
      <c r="O234" s="139"/>
      <c r="P234" s="136"/>
      <c r="Q234" s="135"/>
    </row>
    <row r="235" spans="1:17" s="137" customFormat="1">
      <c r="A235" s="141"/>
      <c r="B235" s="167"/>
      <c r="C235" s="132"/>
      <c r="D235" s="132"/>
      <c r="E235" s="191"/>
      <c r="F235" s="132"/>
      <c r="G235" s="134"/>
      <c r="H235" s="132"/>
      <c r="J235" s="138"/>
      <c r="K235" s="136"/>
      <c r="L235" s="136"/>
      <c r="M235" s="139"/>
      <c r="N235" s="139"/>
      <c r="O235" s="139"/>
      <c r="P235" s="136"/>
      <c r="Q235" s="135"/>
    </row>
    <row r="236" spans="1:17" s="137" customFormat="1" ht="54" customHeight="1">
      <c r="A236" s="141"/>
      <c r="B236" s="189"/>
      <c r="C236" s="132"/>
      <c r="D236" s="132"/>
      <c r="E236" s="133"/>
      <c r="F236" s="132"/>
      <c r="G236" s="134"/>
      <c r="H236" s="175"/>
      <c r="J236" s="138"/>
      <c r="K236" s="136"/>
      <c r="L236" s="136"/>
      <c r="M236" s="139"/>
      <c r="N236" s="139"/>
      <c r="O236" s="139"/>
      <c r="P236" s="136"/>
      <c r="Q236" s="135"/>
    </row>
    <row r="237" spans="1:17" s="137" customFormat="1">
      <c r="A237" s="141"/>
      <c r="B237" s="167"/>
      <c r="C237" s="132"/>
      <c r="D237" s="132"/>
      <c r="E237" s="133"/>
      <c r="F237" s="132"/>
      <c r="G237" s="134"/>
      <c r="H237" s="175"/>
      <c r="J237" s="138"/>
      <c r="K237" s="136"/>
      <c r="L237" s="136"/>
      <c r="M237" s="139"/>
      <c r="N237" s="139"/>
      <c r="O237" s="139"/>
      <c r="P237" s="136"/>
      <c r="Q237" s="135"/>
    </row>
    <row r="238" spans="1:17" s="137" customFormat="1">
      <c r="A238" s="141"/>
      <c r="B238" s="167"/>
      <c r="C238" s="173"/>
      <c r="D238" s="132"/>
      <c r="E238" s="135"/>
      <c r="F238" s="132"/>
      <c r="G238" s="134"/>
      <c r="H238" s="132"/>
      <c r="J238" s="138"/>
      <c r="K238" s="136"/>
      <c r="L238" s="136"/>
      <c r="M238" s="139"/>
      <c r="N238" s="139"/>
      <c r="O238" s="139"/>
      <c r="P238" s="136"/>
      <c r="Q238" s="135"/>
    </row>
    <row r="239" spans="1:17" s="137" customFormat="1">
      <c r="A239" s="141"/>
      <c r="B239" s="167"/>
      <c r="C239" s="132"/>
      <c r="D239" s="132"/>
      <c r="E239" s="135"/>
      <c r="F239" s="132"/>
      <c r="G239" s="134"/>
      <c r="H239" s="132"/>
      <c r="J239" s="138"/>
      <c r="K239" s="136"/>
      <c r="L239" s="136"/>
      <c r="M239" s="139"/>
      <c r="N239" s="139"/>
      <c r="O239" s="139"/>
      <c r="P239" s="136"/>
      <c r="Q239" s="135"/>
    </row>
    <row r="240" spans="1:17" s="137" customFormat="1" ht="94.5" customHeight="1">
      <c r="A240" s="141"/>
      <c r="B240" s="189"/>
      <c r="C240" s="132"/>
      <c r="D240" s="132"/>
      <c r="E240" s="133"/>
      <c r="F240" s="132"/>
      <c r="G240" s="134"/>
      <c r="H240" s="175"/>
      <c r="J240" s="138"/>
      <c r="K240" s="136"/>
      <c r="L240" s="136"/>
      <c r="M240" s="139"/>
      <c r="N240" s="139"/>
      <c r="O240" s="139"/>
      <c r="P240" s="136"/>
      <c r="Q240" s="135"/>
    </row>
    <row r="241" spans="1:17" s="137" customFormat="1">
      <c r="A241" s="141"/>
      <c r="B241" s="167"/>
      <c r="C241" s="132"/>
      <c r="D241" s="132"/>
      <c r="E241" s="133"/>
      <c r="F241" s="132"/>
      <c r="G241" s="134"/>
      <c r="H241" s="175"/>
      <c r="J241" s="138"/>
      <c r="K241" s="136"/>
      <c r="L241" s="136"/>
      <c r="M241" s="139"/>
      <c r="N241" s="139"/>
      <c r="O241" s="139"/>
      <c r="P241" s="136"/>
      <c r="Q241" s="135"/>
    </row>
    <row r="242" spans="1:17">
      <c r="B242" s="167"/>
      <c r="C242" s="173"/>
      <c r="E242" s="135"/>
      <c r="H242" s="132"/>
    </row>
    <row r="243" spans="1:17">
      <c r="B243" s="167"/>
      <c r="C243" s="173"/>
      <c r="H243" s="132"/>
      <c r="Q243" s="188"/>
    </row>
    <row r="244" spans="1:17">
      <c r="B244" s="189"/>
      <c r="H244" s="175"/>
      <c r="K244" s="167"/>
    </row>
    <row r="245" spans="1:17">
      <c r="B245" s="189"/>
      <c r="H245" s="175"/>
      <c r="K245" s="167"/>
    </row>
    <row r="246" spans="1:17">
      <c r="B246" s="167"/>
      <c r="H246" s="175"/>
    </row>
    <row r="247" spans="1:17">
      <c r="B247" s="167"/>
      <c r="C247" s="173"/>
      <c r="H247" s="132"/>
    </row>
    <row r="248" spans="1:17">
      <c r="B248" s="167"/>
      <c r="C248" s="173"/>
      <c r="H248" s="132"/>
    </row>
    <row r="249" spans="1:17">
      <c r="B249" s="167"/>
      <c r="C249" s="173"/>
      <c r="H249" s="132"/>
    </row>
    <row r="250" spans="1:17">
      <c r="B250" s="167"/>
      <c r="C250" s="173"/>
      <c r="H250" s="132"/>
    </row>
    <row r="251" spans="1:17">
      <c r="B251" s="167"/>
      <c r="C251" s="173"/>
      <c r="H251" s="132"/>
    </row>
    <row r="252" spans="1:17">
      <c r="B252" s="167"/>
      <c r="C252" s="173"/>
      <c r="H252" s="132"/>
    </row>
    <row r="253" spans="1:17">
      <c r="B253" s="167"/>
      <c r="C253" s="173"/>
      <c r="H253" s="132"/>
    </row>
    <row r="254" spans="1:17">
      <c r="B254" s="167"/>
      <c r="C254" s="173"/>
      <c r="H254" s="132"/>
    </row>
    <row r="255" spans="1:17">
      <c r="B255" s="167"/>
      <c r="C255" s="173"/>
      <c r="H255" s="132"/>
    </row>
    <row r="256" spans="1:17">
      <c r="B256" s="167"/>
      <c r="C256" s="173"/>
      <c r="E256" s="135"/>
      <c r="H256" s="132"/>
    </row>
    <row r="257" spans="2:17">
      <c r="B257" s="167"/>
      <c r="C257" s="173"/>
      <c r="H257" s="132"/>
    </row>
    <row r="258" spans="2:17">
      <c r="B258" s="167"/>
      <c r="C258" s="173"/>
      <c r="H258" s="132"/>
    </row>
    <row r="259" spans="2:17">
      <c r="B259" s="167"/>
      <c r="C259" s="173"/>
      <c r="H259" s="132"/>
    </row>
    <row r="260" spans="2:17">
      <c r="B260" s="167"/>
      <c r="H260" s="132"/>
      <c r="Q260" s="188"/>
    </row>
    <row r="261" spans="2:17">
      <c r="B261" s="189"/>
      <c r="H261" s="175"/>
    </row>
    <row r="262" spans="2:17">
      <c r="B262" s="167"/>
      <c r="H262" s="175"/>
    </row>
    <row r="263" spans="2:17">
      <c r="B263" s="167"/>
      <c r="C263" s="173"/>
      <c r="H263" s="132"/>
    </row>
    <row r="264" spans="2:17">
      <c r="B264" s="167"/>
      <c r="H264" s="132"/>
      <c r="Q264" s="188"/>
    </row>
    <row r="265" spans="2:17">
      <c r="B265" s="189"/>
      <c r="H265" s="175"/>
    </row>
    <row r="266" spans="2:17">
      <c r="B266" s="167"/>
      <c r="H266" s="175"/>
    </row>
    <row r="267" spans="2:17">
      <c r="B267" s="167"/>
      <c r="C267" s="173"/>
      <c r="E267" s="135"/>
      <c r="H267" s="132"/>
    </row>
    <row r="268" spans="2:17">
      <c r="B268" s="167"/>
      <c r="C268" s="173"/>
      <c r="H268" s="132"/>
    </row>
    <row r="269" spans="2:17">
      <c r="B269" s="189"/>
      <c r="H269" s="175"/>
    </row>
    <row r="270" spans="2:17">
      <c r="B270" s="167"/>
      <c r="H270" s="175"/>
    </row>
    <row r="271" spans="2:17">
      <c r="B271" s="167"/>
      <c r="C271" s="173"/>
      <c r="H271" s="132"/>
    </row>
    <row r="272" spans="2:17">
      <c r="B272" s="167"/>
      <c r="C272" s="173"/>
      <c r="H272" s="132"/>
    </row>
    <row r="273" spans="1:17" s="5" customFormat="1">
      <c r="A273" s="6"/>
      <c r="B273" s="10"/>
      <c r="C273" s="192"/>
      <c r="D273" s="2"/>
      <c r="E273" s="133"/>
      <c r="F273" s="2"/>
      <c r="G273" s="105"/>
      <c r="H273" s="15"/>
      <c r="I273" s="25"/>
      <c r="J273" s="21"/>
      <c r="M273" s="29"/>
      <c r="N273" s="29"/>
      <c r="O273" s="29"/>
      <c r="Q273" s="89"/>
    </row>
    <row r="274" spans="1:17" s="5" customFormat="1">
      <c r="A274" s="6"/>
      <c r="B274" s="10"/>
      <c r="C274" s="192"/>
      <c r="D274" s="2"/>
      <c r="E274" s="133"/>
      <c r="F274" s="2"/>
      <c r="G274" s="105"/>
      <c r="H274" s="15"/>
      <c r="I274" s="25"/>
      <c r="J274" s="21"/>
      <c r="M274" s="29"/>
      <c r="N274" s="29"/>
      <c r="O274" s="29"/>
      <c r="Q274" s="89"/>
    </row>
    <row r="275" spans="1:17" s="5" customFormat="1">
      <c r="A275" s="6"/>
      <c r="B275" s="10"/>
      <c r="C275" s="74"/>
      <c r="D275" s="2"/>
      <c r="E275" s="133"/>
      <c r="F275" s="2"/>
      <c r="G275" s="105"/>
      <c r="H275" s="2"/>
      <c r="I275" s="25"/>
      <c r="J275" s="21"/>
      <c r="M275" s="29"/>
      <c r="N275" s="29"/>
      <c r="O275" s="29"/>
      <c r="Q275" s="89"/>
    </row>
    <row r="276" spans="1:17" s="5" customFormat="1">
      <c r="A276" s="8"/>
      <c r="B276" s="14"/>
      <c r="C276" s="14"/>
      <c r="D276" s="193"/>
      <c r="E276" s="133"/>
      <c r="F276" s="193"/>
      <c r="G276" s="194"/>
      <c r="H276" s="193"/>
      <c r="I276" s="25"/>
      <c r="J276" s="21"/>
      <c r="M276" s="29"/>
      <c r="N276" s="29"/>
      <c r="O276" s="29"/>
      <c r="Q276" s="195"/>
    </row>
    <row r="277" spans="1:17" s="5" customFormat="1">
      <c r="A277" s="6"/>
      <c r="B277" s="10"/>
      <c r="C277" s="192"/>
      <c r="D277" s="2"/>
      <c r="E277" s="133"/>
      <c r="F277" s="2"/>
      <c r="G277" s="105"/>
      <c r="H277" s="15"/>
      <c r="I277" s="25"/>
      <c r="J277" s="21"/>
      <c r="M277" s="29"/>
      <c r="N277" s="29"/>
      <c r="O277" s="29"/>
      <c r="Q277" s="89"/>
    </row>
    <row r="278" spans="1:17" s="5" customFormat="1">
      <c r="A278" s="6"/>
      <c r="B278" s="10"/>
      <c r="C278" s="192"/>
      <c r="D278" s="2"/>
      <c r="E278" s="133"/>
      <c r="F278" s="2"/>
      <c r="G278" s="105"/>
      <c r="H278" s="15"/>
      <c r="I278" s="25"/>
      <c r="J278" s="21"/>
      <c r="M278" s="29"/>
      <c r="N278" s="29"/>
      <c r="O278" s="29"/>
      <c r="Q278" s="89"/>
    </row>
    <row r="279" spans="1:17" s="5" customFormat="1">
      <c r="A279" s="6"/>
      <c r="B279" s="10"/>
      <c r="C279" s="74"/>
      <c r="D279" s="2"/>
      <c r="E279" s="135"/>
      <c r="F279" s="2"/>
      <c r="G279" s="105"/>
      <c r="H279" s="2"/>
      <c r="I279" s="25"/>
      <c r="J279" s="21"/>
      <c r="M279" s="29"/>
      <c r="N279" s="29"/>
      <c r="O279" s="29"/>
      <c r="Q279" s="89"/>
    </row>
    <row r="280" spans="1:17" s="5" customFormat="1">
      <c r="A280" s="6"/>
      <c r="B280" s="10"/>
      <c r="C280" s="192"/>
      <c r="D280" s="2"/>
      <c r="E280" s="133"/>
      <c r="F280" s="2"/>
      <c r="G280" s="105"/>
      <c r="H280" s="2"/>
      <c r="I280" s="25"/>
      <c r="J280" s="21"/>
      <c r="M280" s="29"/>
      <c r="N280" s="29"/>
      <c r="O280" s="29"/>
      <c r="Q280" s="89"/>
    </row>
    <row r="281" spans="1:17" s="5" customFormat="1">
      <c r="A281" s="6"/>
      <c r="B281" s="10"/>
      <c r="C281" s="2"/>
      <c r="D281" s="2"/>
      <c r="E281" s="133"/>
      <c r="F281" s="2"/>
      <c r="G281" s="94"/>
      <c r="H281" s="15"/>
      <c r="Q281" s="89"/>
    </row>
    <row r="282" spans="1:17" s="5" customFormat="1">
      <c r="A282" s="6"/>
      <c r="B282" s="10"/>
      <c r="C282" s="2"/>
      <c r="D282" s="2"/>
      <c r="E282" s="133"/>
      <c r="F282" s="2"/>
      <c r="G282" s="94"/>
      <c r="H282" s="15"/>
      <c r="Q282" s="89"/>
    </row>
    <row r="283" spans="1:17" s="5" customFormat="1">
      <c r="A283" s="6"/>
      <c r="B283" s="10"/>
      <c r="C283" s="4"/>
      <c r="D283" s="2"/>
      <c r="E283" s="135"/>
      <c r="F283" s="2"/>
      <c r="G283" s="94"/>
      <c r="H283" s="2"/>
      <c r="Q283" s="89"/>
    </row>
    <row r="284" spans="1:17" s="5" customFormat="1">
      <c r="A284" s="8"/>
      <c r="B284" s="14"/>
      <c r="C284" s="14"/>
      <c r="D284" s="193"/>
      <c r="E284" s="133"/>
      <c r="F284" s="193"/>
      <c r="G284" s="194"/>
      <c r="H284" s="193"/>
      <c r="I284" s="25"/>
      <c r="J284" s="21"/>
      <c r="M284" s="29"/>
      <c r="N284" s="29"/>
      <c r="O284" s="29"/>
      <c r="Q284" s="195"/>
    </row>
    <row r="285" spans="1:17" s="5" customFormat="1">
      <c r="A285" s="6"/>
      <c r="B285" s="10"/>
      <c r="C285" s="192"/>
      <c r="D285" s="2"/>
      <c r="E285" s="133"/>
      <c r="F285" s="2"/>
      <c r="G285" s="105"/>
      <c r="H285" s="15"/>
      <c r="I285" s="25"/>
      <c r="J285" s="21"/>
      <c r="M285" s="29"/>
      <c r="N285" s="29"/>
      <c r="O285" s="29"/>
      <c r="Q285" s="89"/>
    </row>
    <row r="286" spans="1:17" s="5" customFormat="1">
      <c r="A286" s="6"/>
      <c r="B286" s="10"/>
      <c r="C286" s="192"/>
      <c r="D286" s="2"/>
      <c r="E286" s="133"/>
      <c r="F286" s="2"/>
      <c r="G286" s="105"/>
      <c r="H286" s="15"/>
      <c r="I286" s="25"/>
      <c r="J286" s="21"/>
      <c r="M286" s="29"/>
      <c r="N286" s="29"/>
      <c r="O286" s="29"/>
      <c r="Q286" s="89"/>
    </row>
    <row r="287" spans="1:17" s="5" customFormat="1">
      <c r="A287" s="6"/>
      <c r="B287" s="10"/>
      <c r="C287" s="74"/>
      <c r="D287" s="2"/>
      <c r="E287" s="133"/>
      <c r="F287" s="2"/>
      <c r="G287" s="105"/>
      <c r="H287" s="2"/>
      <c r="I287" s="25"/>
      <c r="J287" s="21"/>
      <c r="M287" s="29"/>
      <c r="N287" s="29"/>
      <c r="O287" s="29"/>
      <c r="Q287" s="89"/>
    </row>
    <row r="288" spans="1:17" s="5" customFormat="1">
      <c r="A288" s="8"/>
      <c r="B288" s="14"/>
      <c r="C288" s="14"/>
      <c r="D288" s="193"/>
      <c r="E288" s="133"/>
      <c r="F288" s="193"/>
      <c r="G288" s="194"/>
      <c r="H288" s="193"/>
      <c r="I288" s="25"/>
      <c r="J288" s="196"/>
      <c r="M288" s="29"/>
      <c r="N288" s="29"/>
      <c r="O288" s="29"/>
      <c r="Q288" s="195"/>
    </row>
    <row r="289" spans="1:17" s="5" customFormat="1">
      <c r="A289" s="6"/>
      <c r="B289" s="10"/>
      <c r="C289" s="192"/>
      <c r="D289" s="2"/>
      <c r="E289" s="133"/>
      <c r="F289" s="2"/>
      <c r="G289" s="105"/>
      <c r="H289" s="15"/>
      <c r="I289" s="25"/>
      <c r="J289" s="21"/>
      <c r="M289" s="29"/>
      <c r="N289" s="29"/>
      <c r="O289" s="29"/>
      <c r="Q289" s="89"/>
    </row>
    <row r="290" spans="1:17" s="5" customFormat="1">
      <c r="A290" s="6"/>
      <c r="B290" s="10"/>
      <c r="C290" s="192"/>
      <c r="D290" s="2"/>
      <c r="E290" s="133"/>
      <c r="F290" s="2"/>
      <c r="G290" s="105"/>
      <c r="H290" s="15"/>
      <c r="I290" s="25"/>
      <c r="J290" s="21"/>
      <c r="M290" s="29"/>
      <c r="N290" s="29"/>
      <c r="O290" s="29"/>
      <c r="Q290" s="89"/>
    </row>
    <row r="291" spans="1:17" s="5" customFormat="1">
      <c r="A291" s="6"/>
      <c r="B291" s="10"/>
      <c r="C291" s="74"/>
      <c r="D291" s="2"/>
      <c r="E291" s="133"/>
      <c r="F291" s="2"/>
      <c r="G291" s="105"/>
      <c r="H291" s="2"/>
      <c r="I291" s="25"/>
      <c r="J291" s="21"/>
      <c r="M291" s="29"/>
      <c r="N291" s="29"/>
      <c r="O291" s="29"/>
      <c r="Q291" s="89"/>
    </row>
    <row r="292" spans="1:17" s="5" customFormat="1">
      <c r="A292" s="8"/>
      <c r="B292" s="14"/>
      <c r="C292" s="14"/>
      <c r="D292" s="193"/>
      <c r="E292" s="133"/>
      <c r="F292" s="193"/>
      <c r="G292" s="194"/>
      <c r="H292" s="193"/>
      <c r="I292" s="25"/>
      <c r="J292" s="21"/>
      <c r="M292" s="29"/>
      <c r="N292" s="29"/>
      <c r="O292" s="29"/>
      <c r="Q292" s="195"/>
    </row>
    <row r="293" spans="1:17" s="5" customFormat="1">
      <c r="A293" s="6"/>
      <c r="B293" s="10"/>
      <c r="C293" s="192"/>
      <c r="D293" s="2"/>
      <c r="E293" s="133"/>
      <c r="F293" s="2"/>
      <c r="G293" s="105"/>
      <c r="H293" s="15"/>
      <c r="I293" s="25"/>
      <c r="J293" s="21"/>
      <c r="M293" s="29"/>
      <c r="N293" s="29"/>
      <c r="O293" s="29"/>
      <c r="Q293" s="89"/>
    </row>
    <row r="294" spans="1:17" s="5" customFormat="1">
      <c r="A294" s="6"/>
      <c r="B294" s="10"/>
      <c r="C294" s="192"/>
      <c r="D294" s="2"/>
      <c r="E294" s="133"/>
      <c r="F294" s="2"/>
      <c r="G294" s="105"/>
      <c r="H294" s="15"/>
      <c r="I294" s="25"/>
      <c r="J294" s="21"/>
      <c r="M294" s="29"/>
      <c r="N294" s="29"/>
      <c r="O294" s="29"/>
      <c r="Q294" s="89"/>
    </row>
    <row r="295" spans="1:17" s="5" customFormat="1">
      <c r="A295" s="6"/>
      <c r="B295" s="10"/>
      <c r="C295" s="74"/>
      <c r="D295" s="2"/>
      <c r="E295" s="133"/>
      <c r="F295" s="2"/>
      <c r="G295" s="105"/>
      <c r="H295" s="2"/>
      <c r="I295" s="25"/>
      <c r="J295" s="21"/>
      <c r="M295" s="29"/>
      <c r="N295" s="29"/>
      <c r="O295" s="29"/>
      <c r="Q295" s="89"/>
    </row>
    <row r="296" spans="1:17" s="5" customFormat="1">
      <c r="A296" s="8"/>
      <c r="B296" s="14"/>
      <c r="C296" s="14"/>
      <c r="D296" s="193"/>
      <c r="E296" s="133"/>
      <c r="F296" s="193"/>
      <c r="G296" s="194"/>
      <c r="H296" s="193"/>
      <c r="I296" s="25"/>
      <c r="J296" s="21"/>
      <c r="M296" s="29"/>
      <c r="N296" s="29"/>
      <c r="O296" s="29"/>
      <c r="Q296" s="195"/>
    </row>
    <row r="297" spans="1:17" s="5" customFormat="1">
      <c r="A297" s="6"/>
      <c r="B297" s="10"/>
      <c r="C297" s="192"/>
      <c r="D297" s="2"/>
      <c r="E297" s="133"/>
      <c r="F297" s="2"/>
      <c r="G297" s="105"/>
      <c r="H297" s="15"/>
      <c r="I297" s="25"/>
      <c r="J297" s="21"/>
      <c r="M297" s="29"/>
      <c r="N297" s="29"/>
      <c r="O297" s="29"/>
      <c r="Q297" s="89"/>
    </row>
    <row r="298" spans="1:17" s="5" customFormat="1">
      <c r="A298" s="6"/>
      <c r="B298" s="10"/>
      <c r="C298" s="192"/>
      <c r="D298" s="2"/>
      <c r="E298" s="133"/>
      <c r="F298" s="2"/>
      <c r="G298" s="105"/>
      <c r="H298" s="15"/>
      <c r="I298" s="25"/>
      <c r="J298" s="21"/>
      <c r="M298" s="29"/>
      <c r="N298" s="29"/>
      <c r="O298" s="29"/>
      <c r="Q298" s="89"/>
    </row>
    <row r="299" spans="1:17" s="5" customFormat="1">
      <c r="A299" s="6"/>
      <c r="B299" s="10"/>
      <c r="C299" s="74"/>
      <c r="D299" s="2"/>
      <c r="E299" s="133"/>
      <c r="F299" s="2"/>
      <c r="G299" s="105"/>
      <c r="H299" s="2"/>
      <c r="I299" s="25"/>
      <c r="J299" s="21"/>
      <c r="M299" s="29"/>
      <c r="N299" s="29"/>
      <c r="O299" s="29"/>
      <c r="Q299" s="89"/>
    </row>
    <row r="300" spans="1:17" s="5" customFormat="1">
      <c r="A300" s="6"/>
      <c r="B300" s="10"/>
      <c r="C300" s="192"/>
      <c r="D300" s="2"/>
      <c r="E300" s="133"/>
      <c r="F300" s="2"/>
      <c r="G300" s="105"/>
      <c r="H300" s="15"/>
      <c r="I300" s="25"/>
      <c r="J300" s="21"/>
      <c r="M300" s="29"/>
      <c r="N300" s="29"/>
      <c r="O300" s="29"/>
      <c r="Q300" s="94"/>
    </row>
    <row r="301" spans="1:17" s="5" customFormat="1">
      <c r="A301" s="6"/>
      <c r="B301" s="10"/>
      <c r="C301" s="192"/>
      <c r="D301" s="2"/>
      <c r="E301" s="133"/>
      <c r="F301" s="2"/>
      <c r="G301" s="105"/>
      <c r="H301" s="15"/>
      <c r="Q301" s="89"/>
    </row>
    <row r="302" spans="1:17" s="5" customFormat="1">
      <c r="A302" s="6"/>
      <c r="B302" s="10"/>
      <c r="C302" s="192"/>
      <c r="D302" s="2"/>
      <c r="E302" s="133"/>
      <c r="F302" s="2"/>
      <c r="G302" s="105"/>
      <c r="H302" s="15"/>
      <c r="Q302" s="89"/>
    </row>
    <row r="303" spans="1:17" s="5" customFormat="1">
      <c r="A303" s="6"/>
      <c r="B303" s="10"/>
      <c r="C303" s="74"/>
      <c r="D303" s="2"/>
      <c r="E303" s="133"/>
      <c r="F303" s="2"/>
      <c r="G303" s="105"/>
      <c r="H303" s="2"/>
      <c r="Q303" s="89"/>
    </row>
    <row r="304" spans="1:17">
      <c r="B304" s="167"/>
      <c r="C304" s="173"/>
      <c r="H304" s="132"/>
    </row>
    <row r="305" spans="1:17" s="5" customFormat="1">
      <c r="A305" s="6"/>
      <c r="B305" s="10"/>
      <c r="C305" s="192"/>
      <c r="D305" s="2"/>
      <c r="E305" s="133"/>
      <c r="F305" s="2"/>
      <c r="G305" s="105"/>
      <c r="H305" s="15"/>
      <c r="I305" s="25"/>
      <c r="J305" s="21"/>
      <c r="M305" s="29"/>
      <c r="N305" s="29"/>
      <c r="O305" s="29"/>
      <c r="Q305" s="89"/>
    </row>
    <row r="306" spans="1:17" s="5" customFormat="1">
      <c r="A306" s="6"/>
      <c r="B306" s="10"/>
      <c r="C306" s="192"/>
      <c r="D306" s="2"/>
      <c r="E306" s="133"/>
      <c r="F306" s="2"/>
      <c r="G306" s="105"/>
      <c r="H306" s="15"/>
      <c r="I306" s="25"/>
      <c r="J306" s="21"/>
      <c r="M306" s="29"/>
      <c r="N306" s="29"/>
      <c r="O306" s="29"/>
      <c r="Q306" s="89"/>
    </row>
    <row r="307" spans="1:17" s="5" customFormat="1">
      <c r="A307" s="6"/>
      <c r="B307" s="10"/>
      <c r="C307" s="74"/>
      <c r="D307" s="2"/>
      <c r="E307" s="133"/>
      <c r="F307" s="2"/>
      <c r="G307" s="105"/>
      <c r="H307" s="2"/>
      <c r="I307" s="25"/>
      <c r="J307" s="21"/>
      <c r="M307" s="29"/>
      <c r="N307" s="29"/>
      <c r="O307" s="29"/>
      <c r="Q307" s="89"/>
    </row>
    <row r="308" spans="1:17" s="5" customFormat="1">
      <c r="A308" s="8"/>
      <c r="B308" s="14"/>
      <c r="C308" s="14"/>
      <c r="D308" s="193"/>
      <c r="E308" s="133"/>
      <c r="F308" s="193"/>
      <c r="G308" s="194"/>
      <c r="H308" s="193"/>
      <c r="I308" s="25"/>
      <c r="J308" s="21"/>
      <c r="M308" s="29"/>
      <c r="N308" s="29"/>
      <c r="O308" s="29"/>
      <c r="Q308" s="195"/>
    </row>
    <row r="309" spans="1:17" s="5" customFormat="1">
      <c r="A309" s="6"/>
      <c r="B309" s="10"/>
      <c r="C309" s="192"/>
      <c r="D309" s="2"/>
      <c r="E309" s="133"/>
      <c r="F309" s="2"/>
      <c r="G309" s="105"/>
      <c r="H309" s="15"/>
      <c r="I309" s="25"/>
      <c r="J309" s="21"/>
      <c r="M309" s="29"/>
      <c r="N309" s="29"/>
      <c r="O309" s="29"/>
      <c r="Q309" s="89"/>
    </row>
    <row r="310" spans="1:17" s="5" customFormat="1">
      <c r="A310" s="6"/>
      <c r="B310" s="10"/>
      <c r="C310" s="192"/>
      <c r="D310" s="2"/>
      <c r="E310" s="133"/>
      <c r="F310" s="2"/>
      <c r="G310" s="105"/>
      <c r="H310" s="15"/>
      <c r="I310" s="25"/>
      <c r="J310" s="21"/>
      <c r="M310" s="29"/>
      <c r="N310" s="29"/>
      <c r="O310" s="29"/>
      <c r="Q310" s="89"/>
    </row>
    <row r="311" spans="1:17" s="5" customFormat="1">
      <c r="A311" s="6"/>
      <c r="B311" s="10"/>
      <c r="C311" s="74"/>
      <c r="D311" s="2"/>
      <c r="E311" s="133"/>
      <c r="F311" s="2"/>
      <c r="G311" s="105"/>
      <c r="H311" s="2"/>
      <c r="I311" s="25"/>
      <c r="J311" s="21"/>
      <c r="M311" s="29"/>
      <c r="N311" s="29"/>
      <c r="O311" s="29"/>
      <c r="Q311" s="89"/>
    </row>
    <row r="312" spans="1:17" s="5" customFormat="1">
      <c r="A312" s="8"/>
      <c r="B312" s="14"/>
      <c r="C312" s="14"/>
      <c r="D312" s="193"/>
      <c r="E312" s="133"/>
      <c r="F312" s="193"/>
      <c r="G312" s="194"/>
      <c r="H312" s="193"/>
      <c r="I312" s="25"/>
      <c r="J312" s="21"/>
      <c r="M312" s="29"/>
      <c r="N312" s="29"/>
      <c r="O312" s="29"/>
      <c r="Q312" s="195"/>
    </row>
    <row r="313" spans="1:17" s="5" customFormat="1">
      <c r="A313" s="6"/>
      <c r="B313" s="10"/>
      <c r="C313" s="192"/>
      <c r="D313" s="2"/>
      <c r="E313" s="133"/>
      <c r="F313" s="2"/>
      <c r="G313" s="105"/>
      <c r="H313" s="15"/>
      <c r="I313" s="25"/>
      <c r="J313" s="21"/>
      <c r="M313" s="29"/>
      <c r="N313" s="29"/>
      <c r="O313" s="29"/>
      <c r="Q313" s="89"/>
    </row>
    <row r="314" spans="1:17" s="5" customFormat="1">
      <c r="A314" s="6"/>
      <c r="B314" s="10"/>
      <c r="C314" s="192"/>
      <c r="D314" s="2"/>
      <c r="E314" s="133"/>
      <c r="F314" s="2"/>
      <c r="G314" s="105"/>
      <c r="H314" s="15"/>
      <c r="I314" s="25"/>
      <c r="J314" s="21"/>
      <c r="M314" s="29"/>
      <c r="N314" s="29"/>
      <c r="O314" s="29"/>
      <c r="Q314" s="89"/>
    </row>
    <row r="315" spans="1:17" s="5" customFormat="1">
      <c r="A315" s="6"/>
      <c r="B315" s="10"/>
      <c r="C315" s="74"/>
      <c r="D315" s="2"/>
      <c r="E315" s="133"/>
      <c r="F315" s="2"/>
      <c r="G315" s="105"/>
      <c r="H315" s="2"/>
      <c r="I315" s="25"/>
      <c r="J315" s="21"/>
      <c r="M315" s="29"/>
      <c r="N315" s="29"/>
      <c r="O315" s="29"/>
      <c r="Q315" s="89"/>
    </row>
    <row r="316" spans="1:17" s="5" customFormat="1">
      <c r="A316" s="8"/>
      <c r="B316" s="14"/>
      <c r="C316" s="14"/>
      <c r="D316" s="193"/>
      <c r="E316" s="133"/>
      <c r="F316" s="193"/>
      <c r="G316" s="194"/>
      <c r="H316" s="193"/>
      <c r="I316" s="25"/>
      <c r="J316" s="21"/>
      <c r="M316" s="29"/>
      <c r="N316" s="29"/>
      <c r="O316" s="29"/>
      <c r="Q316" s="195"/>
    </row>
    <row r="317" spans="1:17" s="5" customFormat="1">
      <c r="A317" s="6"/>
      <c r="B317" s="10"/>
      <c r="C317" s="192"/>
      <c r="D317" s="2"/>
      <c r="E317" s="133"/>
      <c r="F317" s="2"/>
      <c r="G317" s="105"/>
      <c r="H317" s="15"/>
      <c r="I317" s="25"/>
      <c r="J317" s="21"/>
      <c r="M317" s="29"/>
      <c r="N317" s="29"/>
      <c r="O317" s="29"/>
      <c r="Q317" s="89"/>
    </row>
    <row r="318" spans="1:17" s="5" customFormat="1">
      <c r="A318" s="6"/>
      <c r="B318" s="10"/>
      <c r="C318" s="192"/>
      <c r="D318" s="2"/>
      <c r="E318" s="133"/>
      <c r="F318" s="2"/>
      <c r="G318" s="105"/>
      <c r="H318" s="15"/>
      <c r="I318" s="25"/>
      <c r="J318" s="21"/>
      <c r="M318" s="29"/>
      <c r="N318" s="29"/>
      <c r="O318" s="29"/>
      <c r="Q318" s="89"/>
    </row>
    <row r="319" spans="1:17" s="5" customFormat="1">
      <c r="A319" s="6"/>
      <c r="B319" s="10"/>
      <c r="C319" s="74"/>
      <c r="D319" s="2"/>
      <c r="E319" s="133"/>
      <c r="F319" s="2"/>
      <c r="G319" s="105"/>
      <c r="H319" s="2"/>
      <c r="I319" s="25"/>
      <c r="J319" s="21"/>
      <c r="M319" s="29"/>
      <c r="N319" s="29"/>
      <c r="O319" s="29"/>
      <c r="Q319" s="89"/>
    </row>
    <row r="320" spans="1:17">
      <c r="B320" s="167"/>
      <c r="H320" s="175"/>
      <c r="I320" s="136"/>
      <c r="J320" s="136"/>
      <c r="M320" s="136"/>
      <c r="N320" s="136"/>
      <c r="O320" s="136"/>
    </row>
    <row r="321" spans="1:17">
      <c r="B321" s="167"/>
      <c r="H321" s="175"/>
      <c r="I321" s="136"/>
      <c r="J321" s="136"/>
      <c r="M321" s="136"/>
      <c r="N321" s="136"/>
      <c r="O321" s="136"/>
    </row>
    <row r="322" spans="1:17">
      <c r="B322" s="167"/>
      <c r="H322" s="175"/>
      <c r="I322" s="136"/>
      <c r="J322" s="136"/>
      <c r="M322" s="136"/>
      <c r="N322" s="136"/>
      <c r="O322" s="136"/>
    </row>
    <row r="323" spans="1:17">
      <c r="B323" s="167"/>
      <c r="C323" s="173"/>
      <c r="E323" s="135"/>
      <c r="H323" s="132"/>
      <c r="I323" s="136"/>
      <c r="J323" s="136"/>
      <c r="M323" s="136"/>
      <c r="N323" s="136"/>
      <c r="O323" s="136"/>
    </row>
    <row r="324" spans="1:17">
      <c r="B324" s="167"/>
      <c r="C324" s="173"/>
      <c r="H324" s="132"/>
      <c r="I324" s="136"/>
      <c r="J324" s="136"/>
      <c r="M324" s="136"/>
      <c r="N324" s="136"/>
      <c r="O324" s="136"/>
    </row>
    <row r="325" spans="1:17" s="5" customFormat="1">
      <c r="A325" s="6"/>
      <c r="B325" s="10"/>
      <c r="C325" s="192"/>
      <c r="D325" s="2"/>
      <c r="E325" s="133"/>
      <c r="F325" s="2"/>
      <c r="G325" s="105"/>
      <c r="H325" s="15"/>
      <c r="I325" s="25"/>
      <c r="J325" s="21"/>
      <c r="M325" s="29"/>
      <c r="N325" s="29"/>
      <c r="O325" s="29"/>
      <c r="Q325" s="89"/>
    </row>
    <row r="326" spans="1:17" s="5" customFormat="1">
      <c r="A326" s="6"/>
      <c r="B326" s="10"/>
      <c r="C326" s="192"/>
      <c r="D326" s="2"/>
      <c r="E326" s="133"/>
      <c r="F326" s="2"/>
      <c r="G326" s="105"/>
      <c r="H326" s="15"/>
      <c r="I326" s="25"/>
      <c r="J326" s="21"/>
      <c r="M326" s="29"/>
      <c r="N326" s="29"/>
      <c r="O326" s="29"/>
      <c r="Q326" s="89"/>
    </row>
    <row r="327" spans="1:17" s="5" customFormat="1">
      <c r="A327" s="6"/>
      <c r="B327" s="10"/>
      <c r="C327" s="74"/>
      <c r="D327" s="2"/>
      <c r="E327" s="133"/>
      <c r="F327" s="2"/>
      <c r="G327" s="105"/>
      <c r="H327" s="2"/>
      <c r="I327" s="25"/>
      <c r="J327" s="21"/>
      <c r="M327" s="29"/>
      <c r="N327" s="29"/>
      <c r="O327" s="29"/>
      <c r="Q327" s="89"/>
    </row>
    <row r="328" spans="1:17" s="5" customFormat="1">
      <c r="A328" s="6"/>
      <c r="B328" s="10"/>
      <c r="C328" s="74"/>
      <c r="D328" s="2"/>
      <c r="E328" s="133"/>
      <c r="F328" s="2"/>
      <c r="G328" s="105"/>
      <c r="H328" s="2"/>
      <c r="I328" s="25"/>
      <c r="J328" s="21"/>
      <c r="M328" s="29"/>
      <c r="N328" s="29"/>
      <c r="O328" s="29"/>
      <c r="Q328" s="89"/>
    </row>
    <row r="329" spans="1:17" s="5" customFormat="1">
      <c r="A329" s="6"/>
      <c r="B329" s="10"/>
      <c r="C329" s="192"/>
      <c r="D329" s="2"/>
      <c r="E329" s="133"/>
      <c r="F329" s="2"/>
      <c r="G329" s="105"/>
      <c r="H329" s="15"/>
      <c r="I329" s="25"/>
      <c r="J329" s="21"/>
      <c r="K329" s="189"/>
      <c r="M329" s="29"/>
      <c r="N329" s="29"/>
      <c r="O329" s="29"/>
      <c r="Q329" s="89"/>
    </row>
    <row r="330" spans="1:17" s="5" customFormat="1">
      <c r="A330" s="6"/>
      <c r="B330" s="10"/>
      <c r="C330" s="192"/>
      <c r="D330" s="2"/>
      <c r="E330" s="133"/>
      <c r="F330" s="2"/>
      <c r="G330" s="105"/>
      <c r="H330" s="15"/>
      <c r="I330" s="25"/>
      <c r="J330" s="21"/>
      <c r="M330" s="29"/>
      <c r="N330" s="29"/>
      <c r="O330" s="29"/>
      <c r="Q330" s="89"/>
    </row>
    <row r="331" spans="1:17" s="5" customFormat="1">
      <c r="A331" s="6"/>
      <c r="B331" s="10"/>
      <c r="C331" s="74"/>
      <c r="D331" s="2"/>
      <c r="E331" s="135"/>
      <c r="F331" s="2"/>
      <c r="G331" s="105"/>
      <c r="H331" s="2"/>
      <c r="I331" s="25"/>
      <c r="J331" s="21"/>
      <c r="M331" s="29"/>
      <c r="N331" s="29"/>
      <c r="O331" s="29"/>
      <c r="Q331" s="89"/>
    </row>
    <row r="332" spans="1:17" s="5" customFormat="1">
      <c r="A332" s="6"/>
      <c r="B332" s="10"/>
      <c r="C332" s="74"/>
      <c r="D332" s="2"/>
      <c r="E332" s="133"/>
      <c r="F332" s="2"/>
      <c r="G332" s="105"/>
      <c r="H332" s="2"/>
      <c r="I332" s="25"/>
      <c r="J332" s="21"/>
      <c r="M332" s="29"/>
      <c r="N332" s="29"/>
      <c r="O332" s="29"/>
      <c r="Q332" s="89"/>
    </row>
    <row r="333" spans="1:17" s="5" customFormat="1">
      <c r="A333" s="6"/>
      <c r="B333" s="10"/>
      <c r="C333" s="192"/>
      <c r="D333" s="2"/>
      <c r="E333" s="133"/>
      <c r="F333" s="2"/>
      <c r="G333" s="105"/>
      <c r="H333" s="15"/>
      <c r="I333" s="25"/>
      <c r="J333" s="21"/>
      <c r="M333" s="29"/>
      <c r="N333" s="29"/>
      <c r="O333" s="29"/>
      <c r="Q333" s="89"/>
    </row>
    <row r="334" spans="1:17" s="5" customFormat="1">
      <c r="A334" s="6"/>
      <c r="B334" s="10"/>
      <c r="C334" s="192"/>
      <c r="D334" s="2"/>
      <c r="E334" s="133"/>
      <c r="F334" s="2"/>
      <c r="G334" s="105"/>
      <c r="H334" s="15"/>
      <c r="I334" s="25"/>
      <c r="J334" s="21"/>
      <c r="M334" s="29"/>
      <c r="N334" s="29"/>
      <c r="O334" s="29"/>
      <c r="Q334" s="89"/>
    </row>
    <row r="335" spans="1:17" s="5" customFormat="1">
      <c r="A335" s="6"/>
      <c r="B335" s="10"/>
      <c r="C335" s="74"/>
      <c r="D335" s="2"/>
      <c r="E335" s="135"/>
      <c r="F335" s="2"/>
      <c r="G335" s="105"/>
      <c r="H335" s="2"/>
      <c r="I335" s="25"/>
      <c r="J335" s="21"/>
      <c r="M335" s="29"/>
      <c r="N335" s="29"/>
      <c r="O335" s="29"/>
      <c r="Q335" s="89"/>
    </row>
    <row r="336" spans="1:17" s="5" customFormat="1">
      <c r="A336" s="6"/>
      <c r="B336" s="10"/>
      <c r="C336" s="74"/>
      <c r="D336" s="2"/>
      <c r="E336" s="133"/>
      <c r="F336" s="2"/>
      <c r="G336" s="105"/>
      <c r="H336" s="2"/>
      <c r="I336" s="25"/>
      <c r="J336" s="21"/>
      <c r="M336" s="29"/>
      <c r="N336" s="29"/>
      <c r="O336" s="29"/>
      <c r="Q336" s="89"/>
    </row>
    <row r="337" spans="1:17" s="5" customFormat="1">
      <c r="A337" s="6"/>
      <c r="B337" s="10"/>
      <c r="C337" s="192"/>
      <c r="D337" s="2"/>
      <c r="E337" s="133"/>
      <c r="F337" s="2"/>
      <c r="G337" s="105"/>
      <c r="H337" s="15"/>
      <c r="I337" s="25"/>
      <c r="J337" s="21"/>
      <c r="K337" s="189"/>
      <c r="M337" s="29"/>
      <c r="N337" s="29"/>
      <c r="O337" s="29"/>
      <c r="Q337" s="89"/>
    </row>
    <row r="338" spans="1:17" s="5" customFormat="1">
      <c r="A338" s="6"/>
      <c r="B338" s="10"/>
      <c r="C338" s="192"/>
      <c r="D338" s="2"/>
      <c r="E338" s="133"/>
      <c r="F338" s="2"/>
      <c r="G338" s="105"/>
      <c r="H338" s="15"/>
      <c r="I338" s="25"/>
      <c r="J338" s="21"/>
      <c r="M338" s="29"/>
      <c r="N338" s="29"/>
      <c r="O338" s="29"/>
      <c r="Q338" s="89"/>
    </row>
    <row r="339" spans="1:17" s="5" customFormat="1">
      <c r="A339" s="6"/>
      <c r="B339" s="10"/>
      <c r="C339" s="74"/>
      <c r="D339" s="2"/>
      <c r="E339" s="135"/>
      <c r="F339" s="2"/>
      <c r="G339" s="105"/>
      <c r="H339" s="2"/>
      <c r="I339" s="25"/>
      <c r="J339" s="21"/>
      <c r="M339" s="29"/>
      <c r="N339" s="29"/>
      <c r="O339" s="29"/>
      <c r="Q339" s="89"/>
    </row>
    <row r="340" spans="1:17">
      <c r="B340" s="167"/>
      <c r="C340" s="180"/>
      <c r="H340" s="175"/>
    </row>
    <row r="341" spans="1:17" ht="57" customHeight="1">
      <c r="B341" s="167"/>
      <c r="H341" s="175"/>
      <c r="I341" s="136"/>
      <c r="J341" s="136"/>
      <c r="M341" s="136"/>
      <c r="N341" s="136"/>
      <c r="O341" s="136"/>
    </row>
    <row r="342" spans="1:17">
      <c r="B342" s="167"/>
      <c r="H342" s="175"/>
      <c r="I342" s="136"/>
      <c r="J342" s="136"/>
      <c r="M342" s="136"/>
      <c r="N342" s="136"/>
      <c r="O342" s="136"/>
    </row>
    <row r="343" spans="1:17">
      <c r="B343" s="167"/>
      <c r="C343" s="173"/>
      <c r="E343" s="135"/>
      <c r="H343" s="132"/>
      <c r="I343" s="136"/>
      <c r="J343" s="136"/>
      <c r="M343" s="136"/>
      <c r="N343" s="136"/>
      <c r="O343" s="136"/>
    </row>
    <row r="344" spans="1:17">
      <c r="B344" s="167"/>
      <c r="C344" s="173"/>
      <c r="H344" s="132"/>
      <c r="I344" s="136"/>
      <c r="J344" s="136"/>
      <c r="M344" s="136"/>
      <c r="N344" s="136"/>
      <c r="O344" s="136"/>
    </row>
    <row r="345" spans="1:17" s="5" customFormat="1">
      <c r="A345" s="6"/>
      <c r="B345" s="10"/>
      <c r="C345" s="2"/>
      <c r="D345" s="2"/>
      <c r="E345" s="133"/>
      <c r="F345" s="2"/>
      <c r="G345" s="105"/>
      <c r="H345" s="15"/>
      <c r="I345" s="25"/>
      <c r="J345" s="21"/>
      <c r="M345" s="29"/>
      <c r="N345" s="29"/>
      <c r="O345" s="29"/>
      <c r="Q345" s="89"/>
    </row>
    <row r="346" spans="1:17" s="5" customFormat="1">
      <c r="A346" s="6"/>
      <c r="B346" s="10"/>
      <c r="C346" s="2"/>
      <c r="D346" s="2"/>
      <c r="E346" s="133"/>
      <c r="F346" s="2"/>
      <c r="G346" s="105"/>
      <c r="H346" s="15"/>
      <c r="I346" s="25"/>
      <c r="J346" s="21"/>
      <c r="M346" s="29"/>
      <c r="N346" s="29"/>
      <c r="O346" s="29"/>
      <c r="Q346" s="89"/>
    </row>
    <row r="347" spans="1:17" s="5" customFormat="1">
      <c r="A347" s="6"/>
      <c r="B347" s="10"/>
      <c r="C347" s="4"/>
      <c r="D347" s="2"/>
      <c r="E347" s="133"/>
      <c r="F347" s="2"/>
      <c r="G347" s="105"/>
      <c r="H347" s="2"/>
      <c r="I347" s="25"/>
      <c r="J347" s="21"/>
      <c r="M347" s="29"/>
      <c r="N347" s="29"/>
      <c r="O347" s="29"/>
      <c r="Q347" s="89"/>
    </row>
    <row r="348" spans="1:17" s="5" customFormat="1">
      <c r="A348" s="6"/>
      <c r="B348" s="10"/>
      <c r="C348" s="4"/>
      <c r="D348" s="2"/>
      <c r="E348" s="133"/>
      <c r="F348" s="2"/>
      <c r="G348" s="105"/>
      <c r="H348" s="2"/>
      <c r="I348" s="25"/>
      <c r="J348" s="21"/>
      <c r="M348" s="29"/>
      <c r="N348" s="29"/>
      <c r="O348" s="29"/>
      <c r="Q348" s="89"/>
    </row>
    <row r="349" spans="1:17" s="5" customFormat="1" ht="105.95" customHeight="1">
      <c r="A349" s="6"/>
      <c r="B349" s="10"/>
      <c r="C349" s="192"/>
      <c r="D349" s="2"/>
      <c r="E349" s="133"/>
      <c r="F349" s="2"/>
      <c r="G349" s="105"/>
      <c r="H349" s="15"/>
      <c r="I349" s="25"/>
      <c r="J349" s="21"/>
      <c r="M349" s="29"/>
      <c r="N349" s="29"/>
      <c r="O349" s="29"/>
      <c r="Q349" s="89"/>
    </row>
    <row r="350" spans="1:17" s="5" customFormat="1">
      <c r="A350" s="6"/>
      <c r="B350" s="10"/>
      <c r="C350" s="192"/>
      <c r="D350" s="2"/>
      <c r="E350" s="133"/>
      <c r="F350" s="2"/>
      <c r="G350" s="105"/>
      <c r="H350" s="15"/>
      <c r="I350" s="25"/>
      <c r="J350" s="21"/>
      <c r="M350" s="29"/>
      <c r="N350" s="29"/>
      <c r="O350" s="29"/>
      <c r="Q350" s="89"/>
    </row>
    <row r="351" spans="1:17" s="5" customFormat="1">
      <c r="A351" s="6"/>
      <c r="B351" s="10"/>
      <c r="C351" s="74"/>
      <c r="D351" s="2"/>
      <c r="E351" s="133"/>
      <c r="F351" s="2"/>
      <c r="G351" s="105"/>
      <c r="H351" s="2"/>
      <c r="I351" s="25"/>
      <c r="J351" s="21"/>
      <c r="M351" s="29"/>
      <c r="N351" s="29"/>
      <c r="O351" s="29"/>
      <c r="Q351" s="89"/>
    </row>
    <row r="352" spans="1:17" s="5" customFormat="1">
      <c r="A352" s="6"/>
      <c r="B352" s="10"/>
      <c r="C352" s="2"/>
      <c r="D352" s="2"/>
      <c r="E352" s="133"/>
      <c r="F352" s="2"/>
      <c r="G352" s="105"/>
      <c r="H352" s="2"/>
      <c r="I352" s="25"/>
      <c r="J352" s="21"/>
      <c r="M352" s="29"/>
      <c r="N352" s="29"/>
      <c r="O352" s="29"/>
      <c r="Q352" s="89"/>
    </row>
    <row r="353" spans="1:17" s="5" customFormat="1" ht="125.25" customHeight="1">
      <c r="A353" s="6"/>
      <c r="B353" s="10"/>
      <c r="C353" s="192"/>
      <c r="D353" s="2"/>
      <c r="E353" s="133"/>
      <c r="F353" s="2"/>
      <c r="G353" s="105"/>
      <c r="H353" s="15"/>
      <c r="I353" s="25"/>
      <c r="J353" s="21"/>
      <c r="M353" s="29"/>
      <c r="N353" s="29"/>
      <c r="O353" s="29"/>
      <c r="Q353" s="89"/>
    </row>
    <row r="354" spans="1:17" s="5" customFormat="1">
      <c r="A354" s="6"/>
      <c r="B354" s="10"/>
      <c r="C354" s="192"/>
      <c r="D354" s="2"/>
      <c r="E354" s="133"/>
      <c r="F354" s="2"/>
      <c r="G354" s="105"/>
      <c r="H354" s="15"/>
      <c r="I354" s="25"/>
      <c r="J354" s="21"/>
      <c r="M354" s="29"/>
      <c r="N354" s="29"/>
      <c r="O354" s="29"/>
      <c r="Q354" s="89"/>
    </row>
    <row r="355" spans="1:17" s="5" customFormat="1">
      <c r="A355" s="6"/>
      <c r="B355" s="10"/>
      <c r="C355" s="74"/>
      <c r="D355" s="2"/>
      <c r="E355" s="133"/>
      <c r="F355" s="2"/>
      <c r="G355" s="105"/>
      <c r="H355" s="2"/>
      <c r="I355" s="25"/>
      <c r="J355" s="21"/>
      <c r="M355" s="29"/>
      <c r="N355" s="29"/>
      <c r="O355" s="29"/>
      <c r="Q355" s="89"/>
    </row>
    <row r="356" spans="1:17" s="5" customFormat="1">
      <c r="A356" s="6"/>
      <c r="B356" s="10"/>
      <c r="C356" s="74"/>
      <c r="D356" s="2"/>
      <c r="E356" s="133"/>
      <c r="F356" s="2"/>
      <c r="G356" s="105"/>
      <c r="H356" s="2"/>
      <c r="I356" s="25"/>
      <c r="J356" s="21"/>
      <c r="M356" s="29"/>
      <c r="N356" s="29"/>
      <c r="O356" s="29"/>
      <c r="Q356" s="89"/>
    </row>
    <row r="357" spans="1:17" s="5" customFormat="1" ht="125.25" customHeight="1">
      <c r="A357" s="6"/>
      <c r="B357" s="10"/>
      <c r="C357" s="192"/>
      <c r="D357" s="2"/>
      <c r="E357" s="133"/>
      <c r="F357" s="2"/>
      <c r="G357" s="105"/>
      <c r="H357" s="15"/>
      <c r="I357" s="25"/>
      <c r="J357" s="21"/>
      <c r="M357" s="29"/>
      <c r="N357" s="29"/>
      <c r="O357" s="29"/>
      <c r="Q357" s="89"/>
    </row>
    <row r="358" spans="1:17" s="5" customFormat="1">
      <c r="A358" s="6"/>
      <c r="B358" s="10"/>
      <c r="C358" s="192"/>
      <c r="D358" s="2"/>
      <c r="E358" s="133"/>
      <c r="F358" s="2"/>
      <c r="G358" s="105"/>
      <c r="H358" s="15"/>
      <c r="I358" s="25"/>
      <c r="J358" s="21"/>
      <c r="M358" s="29"/>
      <c r="N358" s="29"/>
      <c r="O358" s="29"/>
      <c r="Q358" s="89"/>
    </row>
    <row r="359" spans="1:17" s="5" customFormat="1">
      <c r="A359" s="6"/>
      <c r="B359" s="10"/>
      <c r="C359" s="74"/>
      <c r="D359" s="2"/>
      <c r="E359" s="133"/>
      <c r="F359" s="2"/>
      <c r="G359" s="105"/>
      <c r="H359" s="2"/>
      <c r="I359" s="25"/>
      <c r="J359" s="21"/>
      <c r="M359" s="29"/>
      <c r="N359" s="29"/>
      <c r="O359" s="29"/>
      <c r="Q359" s="89"/>
    </row>
    <row r="360" spans="1:17" s="5" customFormat="1">
      <c r="A360" s="6"/>
      <c r="B360" s="10"/>
      <c r="C360" s="74"/>
      <c r="D360" s="2"/>
      <c r="E360" s="133"/>
      <c r="F360" s="2"/>
      <c r="G360" s="105"/>
      <c r="H360" s="2"/>
      <c r="I360" s="25"/>
      <c r="J360" s="21"/>
      <c r="M360" s="29"/>
      <c r="N360" s="29"/>
      <c r="O360" s="29"/>
      <c r="Q360" s="89"/>
    </row>
    <row r="361" spans="1:17" s="5" customFormat="1" ht="123.95" customHeight="1">
      <c r="A361" s="6"/>
      <c r="B361" s="10"/>
      <c r="C361" s="192"/>
      <c r="D361" s="2"/>
      <c r="E361" s="133"/>
      <c r="F361" s="2"/>
      <c r="G361" s="105"/>
      <c r="H361" s="15"/>
      <c r="I361" s="25"/>
      <c r="J361" s="21"/>
      <c r="M361" s="29"/>
      <c r="N361" s="29"/>
      <c r="O361" s="29"/>
      <c r="Q361" s="89"/>
    </row>
    <row r="362" spans="1:17" s="5" customFormat="1">
      <c r="A362" s="6"/>
      <c r="B362" s="10"/>
      <c r="C362" s="192"/>
      <c r="D362" s="2"/>
      <c r="E362" s="133"/>
      <c r="F362" s="2"/>
      <c r="G362" s="105"/>
      <c r="H362" s="15"/>
      <c r="I362" s="25"/>
      <c r="J362" s="21"/>
      <c r="M362" s="29"/>
      <c r="N362" s="29"/>
      <c r="O362" s="29"/>
      <c r="Q362" s="89"/>
    </row>
    <row r="363" spans="1:17" s="5" customFormat="1">
      <c r="A363" s="6"/>
      <c r="B363" s="10"/>
      <c r="C363" s="74"/>
      <c r="D363" s="2"/>
      <c r="E363" s="133"/>
      <c r="F363" s="2"/>
      <c r="G363" s="105"/>
      <c r="H363" s="2"/>
      <c r="I363" s="25"/>
      <c r="J363" s="21"/>
      <c r="M363" s="29"/>
      <c r="N363" s="29"/>
      <c r="O363" s="29"/>
      <c r="Q363" s="89"/>
    </row>
    <row r="364" spans="1:17" s="5" customFormat="1">
      <c r="A364" s="6"/>
      <c r="B364" s="10"/>
      <c r="C364" s="74"/>
      <c r="D364" s="2"/>
      <c r="E364" s="133"/>
      <c r="F364" s="2"/>
      <c r="G364" s="105"/>
      <c r="H364" s="2"/>
      <c r="I364" s="25"/>
      <c r="J364" s="21"/>
      <c r="M364" s="29"/>
      <c r="N364" s="29"/>
      <c r="O364" s="29"/>
      <c r="Q364" s="89"/>
    </row>
    <row r="365" spans="1:17" s="5" customFormat="1" ht="125.25" customHeight="1">
      <c r="A365" s="6"/>
      <c r="B365" s="10"/>
      <c r="C365" s="192"/>
      <c r="D365" s="2"/>
      <c r="E365" s="133"/>
      <c r="F365" s="2"/>
      <c r="G365" s="105"/>
      <c r="H365" s="15"/>
      <c r="I365" s="25"/>
      <c r="J365" s="21"/>
      <c r="M365" s="29"/>
      <c r="N365" s="29"/>
      <c r="O365" s="29"/>
      <c r="Q365" s="89"/>
    </row>
    <row r="366" spans="1:17" s="5" customFormat="1">
      <c r="A366" s="6"/>
      <c r="B366" s="10"/>
      <c r="C366" s="192"/>
      <c r="D366" s="2"/>
      <c r="E366" s="133"/>
      <c r="F366" s="2"/>
      <c r="G366" s="105"/>
      <c r="H366" s="15"/>
      <c r="I366" s="25"/>
      <c r="J366" s="21"/>
      <c r="M366" s="29"/>
      <c r="N366" s="29"/>
      <c r="O366" s="29"/>
      <c r="Q366" s="89"/>
    </row>
    <row r="367" spans="1:17" s="5" customFormat="1">
      <c r="A367" s="6"/>
      <c r="B367" s="10"/>
      <c r="C367" s="74"/>
      <c r="D367" s="2"/>
      <c r="E367" s="133"/>
      <c r="F367" s="2"/>
      <c r="G367" s="105"/>
      <c r="H367" s="2"/>
      <c r="I367" s="25"/>
      <c r="J367" s="21"/>
      <c r="M367" s="29"/>
      <c r="N367" s="29"/>
      <c r="O367" s="29"/>
      <c r="Q367" s="89"/>
    </row>
    <row r="368" spans="1:17" s="5" customFormat="1">
      <c r="A368" s="6"/>
      <c r="B368" s="10"/>
      <c r="C368" s="74"/>
      <c r="D368" s="2"/>
      <c r="E368" s="133"/>
      <c r="F368" s="2"/>
      <c r="G368" s="105"/>
      <c r="H368" s="2"/>
      <c r="I368" s="25"/>
      <c r="J368" s="21"/>
      <c r="M368" s="29"/>
      <c r="N368" s="29"/>
      <c r="O368" s="29"/>
      <c r="Q368" s="89"/>
    </row>
    <row r="369" spans="1:17" s="5" customFormat="1" ht="123" customHeight="1">
      <c r="A369" s="6"/>
      <c r="B369" s="10"/>
      <c r="C369" s="192"/>
      <c r="D369" s="2"/>
      <c r="E369" s="133"/>
      <c r="F369" s="2"/>
      <c r="G369" s="105"/>
      <c r="H369" s="15"/>
      <c r="I369" s="25"/>
      <c r="J369" s="21"/>
      <c r="M369" s="29"/>
      <c r="N369" s="29"/>
      <c r="O369" s="29"/>
      <c r="Q369" s="89"/>
    </row>
    <row r="370" spans="1:17" s="5" customFormat="1">
      <c r="A370" s="6"/>
      <c r="B370" s="10"/>
      <c r="C370" s="192"/>
      <c r="D370" s="2"/>
      <c r="E370" s="133"/>
      <c r="F370" s="2"/>
      <c r="G370" s="105"/>
      <c r="H370" s="15"/>
      <c r="I370" s="25"/>
      <c r="J370" s="21"/>
      <c r="M370" s="29"/>
      <c r="N370" s="29"/>
      <c r="O370" s="29"/>
      <c r="Q370" s="89"/>
    </row>
    <row r="371" spans="1:17" s="5" customFormat="1">
      <c r="A371" s="6"/>
      <c r="B371" s="10"/>
      <c r="C371" s="74"/>
      <c r="D371" s="2"/>
      <c r="E371" s="133"/>
      <c r="F371" s="2"/>
      <c r="G371" s="105"/>
      <c r="H371" s="2"/>
      <c r="I371" s="25"/>
      <c r="J371" s="21"/>
      <c r="M371" s="29"/>
      <c r="N371" s="29"/>
      <c r="O371" s="29"/>
      <c r="Q371" s="89"/>
    </row>
    <row r="372" spans="1:17" s="5" customFormat="1">
      <c r="A372" s="6"/>
      <c r="B372" s="10"/>
      <c r="C372" s="74"/>
      <c r="D372" s="2"/>
      <c r="E372" s="133"/>
      <c r="F372" s="2"/>
      <c r="G372" s="105"/>
      <c r="H372" s="2"/>
      <c r="I372" s="25"/>
      <c r="J372" s="21"/>
      <c r="M372" s="29"/>
      <c r="N372" s="29"/>
      <c r="O372" s="29"/>
      <c r="Q372" s="89"/>
    </row>
    <row r="373" spans="1:17" s="5" customFormat="1" ht="119.25" customHeight="1">
      <c r="A373" s="6"/>
      <c r="B373" s="10"/>
      <c r="C373" s="192"/>
      <c r="D373" s="2"/>
      <c r="E373" s="133"/>
      <c r="F373" s="2"/>
      <c r="G373" s="105"/>
      <c r="H373" s="15"/>
      <c r="I373" s="25"/>
      <c r="J373" s="21"/>
      <c r="M373" s="29"/>
      <c r="N373" s="29"/>
      <c r="O373" s="29"/>
      <c r="Q373" s="89"/>
    </row>
    <row r="374" spans="1:17" s="5" customFormat="1">
      <c r="A374" s="6"/>
      <c r="B374" s="10"/>
      <c r="C374" s="192"/>
      <c r="D374" s="2"/>
      <c r="E374" s="133"/>
      <c r="F374" s="2"/>
      <c r="G374" s="105"/>
      <c r="H374" s="15"/>
      <c r="I374" s="25"/>
      <c r="J374" s="21"/>
      <c r="M374" s="29"/>
      <c r="N374" s="29"/>
      <c r="O374" s="29"/>
      <c r="Q374" s="89"/>
    </row>
    <row r="375" spans="1:17" s="5" customFormat="1">
      <c r="A375" s="6"/>
      <c r="B375" s="10"/>
      <c r="C375" s="74"/>
      <c r="D375" s="2"/>
      <c r="E375" s="133"/>
      <c r="F375" s="2"/>
      <c r="G375" s="105"/>
      <c r="H375" s="2"/>
      <c r="I375" s="25"/>
      <c r="J375" s="21"/>
      <c r="M375" s="29"/>
      <c r="N375" s="29"/>
      <c r="O375" s="29"/>
      <c r="Q375" s="89"/>
    </row>
    <row r="376" spans="1:17" s="5" customFormat="1">
      <c r="A376" s="6"/>
      <c r="B376" s="10"/>
      <c r="C376" s="192"/>
      <c r="D376" s="2"/>
      <c r="E376" s="133"/>
      <c r="F376" s="2"/>
      <c r="G376" s="105"/>
      <c r="H376" s="2"/>
      <c r="I376" s="25"/>
      <c r="J376" s="21"/>
      <c r="M376" s="29"/>
      <c r="N376" s="29"/>
      <c r="O376" s="29"/>
      <c r="Q376" s="89"/>
    </row>
    <row r="377" spans="1:17" s="5" customFormat="1" ht="100.5" customHeight="1">
      <c r="A377" s="6"/>
      <c r="B377" s="10"/>
      <c r="C377" s="192"/>
      <c r="D377" s="2"/>
      <c r="E377" s="133"/>
      <c r="F377" s="2"/>
      <c r="G377" s="105"/>
      <c r="H377" s="15"/>
      <c r="I377" s="25"/>
      <c r="J377" s="21"/>
      <c r="M377" s="29"/>
      <c r="N377" s="29"/>
      <c r="O377" s="29"/>
      <c r="Q377" s="89"/>
    </row>
    <row r="378" spans="1:17" s="5" customFormat="1">
      <c r="A378" s="6"/>
      <c r="B378" s="10"/>
      <c r="C378" s="192"/>
      <c r="D378" s="2"/>
      <c r="E378" s="133"/>
      <c r="F378" s="2"/>
      <c r="G378" s="105"/>
      <c r="H378" s="15"/>
      <c r="I378" s="25"/>
      <c r="J378" s="21"/>
      <c r="M378" s="29"/>
      <c r="N378" s="29"/>
      <c r="O378" s="29"/>
      <c r="Q378" s="89"/>
    </row>
    <row r="379" spans="1:17" s="5" customFormat="1">
      <c r="A379" s="6"/>
      <c r="B379" s="10"/>
      <c r="C379" s="74"/>
      <c r="D379" s="2"/>
      <c r="E379" s="133"/>
      <c r="F379" s="2"/>
      <c r="G379" s="105"/>
      <c r="H379" s="2"/>
      <c r="I379" s="25"/>
      <c r="J379" s="21"/>
      <c r="M379" s="29"/>
      <c r="N379" s="29"/>
      <c r="O379" s="29"/>
      <c r="Q379" s="89"/>
    </row>
    <row r="380" spans="1:17" s="5" customFormat="1">
      <c r="A380" s="6"/>
      <c r="B380" s="10"/>
      <c r="C380" s="2"/>
      <c r="D380" s="2"/>
      <c r="E380" s="133"/>
      <c r="F380" s="2"/>
      <c r="G380" s="105"/>
      <c r="H380" s="2"/>
      <c r="I380" s="25"/>
      <c r="J380" s="21"/>
      <c r="M380" s="29"/>
      <c r="N380" s="29"/>
      <c r="O380" s="29"/>
      <c r="Q380" s="89"/>
    </row>
    <row r="381" spans="1:17" s="5" customFormat="1" ht="99.75" customHeight="1">
      <c r="A381" s="6"/>
      <c r="B381" s="10"/>
      <c r="C381" s="192"/>
      <c r="D381" s="2"/>
      <c r="E381" s="133"/>
      <c r="F381" s="2"/>
      <c r="G381" s="105"/>
      <c r="H381" s="15"/>
      <c r="I381" s="25"/>
      <c r="J381" s="21"/>
      <c r="M381" s="29"/>
      <c r="N381" s="29"/>
      <c r="O381" s="29"/>
      <c r="Q381" s="89"/>
    </row>
    <row r="382" spans="1:17" s="5" customFormat="1">
      <c r="A382" s="6"/>
      <c r="B382" s="10"/>
      <c r="C382" s="192"/>
      <c r="D382" s="2"/>
      <c r="E382" s="133"/>
      <c r="F382" s="2"/>
      <c r="G382" s="105"/>
      <c r="H382" s="15"/>
      <c r="I382" s="25"/>
      <c r="J382" s="21"/>
      <c r="M382" s="29"/>
      <c r="N382" s="29"/>
      <c r="O382" s="29"/>
      <c r="Q382" s="89"/>
    </row>
    <row r="383" spans="1:17" s="5" customFormat="1">
      <c r="A383" s="6"/>
      <c r="B383" s="10"/>
      <c r="C383" s="74"/>
      <c r="D383" s="2"/>
      <c r="E383" s="133"/>
      <c r="F383" s="2"/>
      <c r="G383" s="105"/>
      <c r="H383" s="2"/>
      <c r="I383" s="25"/>
      <c r="J383" s="21"/>
      <c r="M383" s="29"/>
      <c r="N383" s="29"/>
      <c r="O383" s="29"/>
      <c r="Q383" s="89"/>
    </row>
    <row r="384" spans="1:17" s="5" customFormat="1">
      <c r="A384" s="6"/>
      <c r="B384" s="10"/>
      <c r="C384" s="192"/>
      <c r="D384" s="2"/>
      <c r="E384" s="133"/>
      <c r="F384" s="2"/>
      <c r="G384" s="105"/>
      <c r="H384" s="2"/>
      <c r="I384" s="25"/>
      <c r="J384" s="21"/>
      <c r="M384" s="29"/>
      <c r="N384" s="29"/>
      <c r="O384" s="29"/>
      <c r="Q384" s="89"/>
    </row>
    <row r="385" spans="1:17" s="5" customFormat="1" ht="99.2" customHeight="1">
      <c r="A385" s="6"/>
      <c r="B385" s="10"/>
      <c r="C385" s="192"/>
      <c r="D385" s="2"/>
      <c r="E385" s="133"/>
      <c r="F385" s="2"/>
      <c r="G385" s="105"/>
      <c r="H385" s="15"/>
      <c r="I385" s="25"/>
      <c r="J385" s="21"/>
      <c r="M385" s="29"/>
      <c r="N385" s="29"/>
      <c r="O385" s="29"/>
      <c r="Q385" s="89"/>
    </row>
    <row r="386" spans="1:17" s="5" customFormat="1">
      <c r="A386" s="6"/>
      <c r="B386" s="10"/>
      <c r="C386" s="192"/>
      <c r="D386" s="2"/>
      <c r="E386" s="133"/>
      <c r="F386" s="2"/>
      <c r="G386" s="105"/>
      <c r="H386" s="15"/>
      <c r="I386" s="25"/>
      <c r="J386" s="21"/>
      <c r="M386" s="29"/>
      <c r="N386" s="29"/>
      <c r="O386" s="29"/>
      <c r="Q386" s="89"/>
    </row>
    <row r="387" spans="1:17" s="5" customFormat="1">
      <c r="A387" s="6"/>
      <c r="B387" s="10"/>
      <c r="C387" s="74"/>
      <c r="D387" s="2"/>
      <c r="E387" s="133"/>
      <c r="F387" s="2"/>
      <c r="G387" s="105"/>
      <c r="H387" s="2"/>
      <c r="I387" s="25"/>
      <c r="J387" s="21"/>
      <c r="M387" s="29"/>
      <c r="N387" s="29"/>
      <c r="O387" s="29"/>
      <c r="Q387" s="89"/>
    </row>
    <row r="388" spans="1:17" s="5" customFormat="1">
      <c r="A388" s="6"/>
      <c r="B388" s="10"/>
      <c r="C388" s="2"/>
      <c r="D388" s="2"/>
      <c r="E388" s="133"/>
      <c r="F388" s="2"/>
      <c r="G388" s="105"/>
      <c r="H388" s="2"/>
      <c r="I388" s="25"/>
      <c r="J388" s="21"/>
      <c r="M388" s="29"/>
      <c r="N388" s="29"/>
      <c r="O388" s="29"/>
      <c r="Q388" s="89"/>
    </row>
    <row r="389" spans="1:17" s="5" customFormat="1" ht="97.5" customHeight="1">
      <c r="A389" s="6"/>
      <c r="B389" s="10"/>
      <c r="C389" s="192"/>
      <c r="D389" s="2"/>
      <c r="E389" s="133"/>
      <c r="F389" s="2"/>
      <c r="G389" s="105"/>
      <c r="H389" s="15"/>
      <c r="I389" s="25"/>
      <c r="J389" s="21"/>
      <c r="M389" s="29"/>
      <c r="N389" s="29"/>
      <c r="O389" s="29"/>
      <c r="Q389" s="89"/>
    </row>
    <row r="390" spans="1:17" s="5" customFormat="1">
      <c r="A390" s="6"/>
      <c r="B390" s="10"/>
      <c r="C390" s="192"/>
      <c r="D390" s="2"/>
      <c r="E390" s="133"/>
      <c r="F390" s="2"/>
      <c r="G390" s="105"/>
      <c r="H390" s="15"/>
      <c r="I390" s="25"/>
      <c r="J390" s="21"/>
      <c r="M390" s="29"/>
      <c r="N390" s="29"/>
      <c r="O390" s="29"/>
      <c r="Q390" s="89"/>
    </row>
    <row r="391" spans="1:17" s="5" customFormat="1">
      <c r="A391" s="6"/>
      <c r="B391" s="10"/>
      <c r="C391" s="74"/>
      <c r="D391" s="2"/>
      <c r="E391" s="133"/>
      <c r="F391" s="2"/>
      <c r="G391" s="105"/>
      <c r="H391" s="2"/>
      <c r="I391" s="25"/>
      <c r="J391" s="21"/>
      <c r="M391" s="29"/>
      <c r="N391" s="29"/>
      <c r="O391" s="29"/>
      <c r="Q391" s="89"/>
    </row>
    <row r="392" spans="1:17" s="5" customFormat="1">
      <c r="A392" s="6"/>
      <c r="B392" s="10"/>
      <c r="C392" s="192"/>
      <c r="D392" s="2"/>
      <c r="E392" s="133"/>
      <c r="F392" s="2"/>
      <c r="G392" s="105"/>
      <c r="H392" s="2"/>
      <c r="I392" s="25"/>
      <c r="J392" s="21"/>
      <c r="M392" s="29"/>
      <c r="N392" s="29"/>
      <c r="O392" s="29"/>
      <c r="Q392" s="89"/>
    </row>
    <row r="393" spans="1:17" s="5" customFormat="1" ht="97.5" customHeight="1">
      <c r="A393" s="6"/>
      <c r="B393" s="10"/>
      <c r="C393" s="192"/>
      <c r="D393" s="2"/>
      <c r="E393" s="133"/>
      <c r="F393" s="2"/>
      <c r="G393" s="105"/>
      <c r="H393" s="15"/>
      <c r="I393" s="25"/>
      <c r="J393" s="21"/>
      <c r="M393" s="29"/>
      <c r="N393" s="29"/>
      <c r="O393" s="29"/>
      <c r="Q393" s="89"/>
    </row>
    <row r="394" spans="1:17" s="5" customFormat="1">
      <c r="A394" s="6"/>
      <c r="B394" s="10"/>
      <c r="C394" s="192"/>
      <c r="D394" s="2"/>
      <c r="E394" s="133"/>
      <c r="F394" s="2"/>
      <c r="G394" s="105"/>
      <c r="H394" s="15"/>
      <c r="I394" s="25"/>
      <c r="J394" s="21"/>
      <c r="M394" s="29"/>
      <c r="N394" s="29"/>
      <c r="O394" s="29"/>
      <c r="Q394" s="89"/>
    </row>
    <row r="395" spans="1:17" s="5" customFormat="1">
      <c r="A395" s="6"/>
      <c r="B395" s="10"/>
      <c r="C395" s="74"/>
      <c r="D395" s="2"/>
      <c r="E395" s="133"/>
      <c r="F395" s="2"/>
      <c r="G395" s="105"/>
      <c r="H395" s="2"/>
      <c r="I395" s="25"/>
      <c r="J395" s="21"/>
      <c r="M395" s="29"/>
      <c r="N395" s="29"/>
      <c r="O395" s="29"/>
      <c r="Q395" s="89"/>
    </row>
    <row r="396" spans="1:17" s="5" customFormat="1">
      <c r="A396" s="6"/>
      <c r="B396" s="10"/>
      <c r="C396" s="2"/>
      <c r="D396" s="2"/>
      <c r="E396" s="133"/>
      <c r="F396" s="2"/>
      <c r="G396" s="105"/>
      <c r="H396" s="2"/>
      <c r="I396" s="25"/>
      <c r="J396" s="21"/>
      <c r="M396" s="29"/>
      <c r="N396" s="29"/>
      <c r="O396" s="29"/>
      <c r="Q396" s="89"/>
    </row>
    <row r="397" spans="1:17" s="5" customFormat="1" ht="98.25" customHeight="1">
      <c r="A397" s="6"/>
      <c r="B397" s="10"/>
      <c r="C397" s="192"/>
      <c r="D397" s="2"/>
      <c r="E397" s="133"/>
      <c r="F397" s="2"/>
      <c r="G397" s="105"/>
      <c r="H397" s="15"/>
      <c r="I397" s="25"/>
      <c r="J397" s="21"/>
      <c r="M397" s="29"/>
      <c r="N397" s="29"/>
      <c r="O397" s="29"/>
      <c r="Q397" s="89"/>
    </row>
    <row r="398" spans="1:17" s="5" customFormat="1">
      <c r="A398" s="6"/>
      <c r="B398" s="10"/>
      <c r="C398" s="192"/>
      <c r="D398" s="2"/>
      <c r="E398" s="133"/>
      <c r="F398" s="2"/>
      <c r="G398" s="105"/>
      <c r="H398" s="15"/>
      <c r="I398" s="25"/>
      <c r="J398" s="21"/>
      <c r="M398" s="29"/>
      <c r="N398" s="29"/>
      <c r="O398" s="29"/>
      <c r="Q398" s="89"/>
    </row>
    <row r="399" spans="1:17" s="5" customFormat="1">
      <c r="A399" s="6"/>
      <c r="B399" s="10"/>
      <c r="C399" s="74"/>
      <c r="D399" s="2"/>
      <c r="E399" s="133"/>
      <c r="F399" s="2"/>
      <c r="G399" s="105"/>
      <c r="H399" s="2"/>
      <c r="I399" s="25"/>
      <c r="J399" s="21"/>
      <c r="M399" s="29"/>
      <c r="N399" s="29"/>
      <c r="O399" s="29"/>
      <c r="Q399" s="89"/>
    </row>
    <row r="400" spans="1:17" s="5" customFormat="1">
      <c r="A400" s="6"/>
      <c r="B400" s="10"/>
      <c r="C400" s="192"/>
      <c r="D400" s="2"/>
      <c r="E400" s="133"/>
      <c r="F400" s="2"/>
      <c r="G400" s="105"/>
      <c r="H400" s="2"/>
      <c r="I400" s="25"/>
      <c r="J400" s="21"/>
      <c r="M400" s="29"/>
      <c r="N400" s="29"/>
      <c r="O400" s="29"/>
      <c r="Q400" s="89"/>
    </row>
    <row r="401" spans="1:17" s="5" customFormat="1" ht="97.5" customHeight="1">
      <c r="A401" s="6"/>
      <c r="B401" s="10"/>
      <c r="C401" s="192"/>
      <c r="D401" s="2"/>
      <c r="E401" s="133"/>
      <c r="F401" s="2"/>
      <c r="G401" s="105"/>
      <c r="H401" s="15"/>
      <c r="I401" s="25"/>
      <c r="J401" s="21"/>
      <c r="M401" s="29"/>
      <c r="N401" s="29"/>
      <c r="O401" s="29"/>
      <c r="Q401" s="89"/>
    </row>
    <row r="402" spans="1:17" s="5" customFormat="1">
      <c r="A402" s="6"/>
      <c r="B402" s="10"/>
      <c r="C402" s="192"/>
      <c r="D402" s="2"/>
      <c r="E402" s="133"/>
      <c r="F402" s="2"/>
      <c r="G402" s="105"/>
      <c r="H402" s="15"/>
      <c r="I402" s="25"/>
      <c r="J402" s="21"/>
      <c r="M402" s="29"/>
      <c r="N402" s="29"/>
      <c r="O402" s="29"/>
      <c r="Q402" s="89"/>
    </row>
    <row r="403" spans="1:17" s="5" customFormat="1">
      <c r="A403" s="6"/>
      <c r="B403" s="10"/>
      <c r="C403" s="74"/>
      <c r="D403" s="2"/>
      <c r="E403" s="133"/>
      <c r="F403" s="2"/>
      <c r="G403" s="105"/>
      <c r="H403" s="2"/>
      <c r="I403" s="25"/>
      <c r="J403" s="21"/>
      <c r="M403" s="29"/>
      <c r="N403" s="29"/>
      <c r="O403" s="29"/>
      <c r="Q403" s="89"/>
    </row>
    <row r="404" spans="1:17" s="5" customFormat="1">
      <c r="A404" s="6"/>
      <c r="B404" s="10"/>
      <c r="C404" s="192"/>
      <c r="D404" s="2"/>
      <c r="E404" s="133"/>
      <c r="F404" s="2"/>
      <c r="G404" s="105"/>
      <c r="H404" s="2"/>
      <c r="I404" s="25"/>
      <c r="J404" s="21"/>
      <c r="M404" s="29"/>
      <c r="N404" s="29"/>
      <c r="O404" s="29"/>
      <c r="Q404" s="89"/>
    </row>
    <row r="405" spans="1:17" s="5" customFormat="1" ht="99.2" customHeight="1">
      <c r="A405" s="6"/>
      <c r="B405" s="10"/>
      <c r="C405" s="192"/>
      <c r="D405" s="2"/>
      <c r="E405" s="133"/>
      <c r="F405" s="2"/>
      <c r="G405" s="105"/>
      <c r="H405" s="15"/>
      <c r="I405" s="25"/>
      <c r="J405" s="21"/>
      <c r="K405" s="10"/>
      <c r="M405" s="29"/>
      <c r="N405" s="29"/>
      <c r="O405" s="29"/>
      <c r="Q405" s="89"/>
    </row>
    <row r="406" spans="1:17" s="5" customFormat="1">
      <c r="A406" s="6"/>
      <c r="B406" s="10"/>
      <c r="C406" s="192"/>
      <c r="D406" s="2"/>
      <c r="E406" s="133"/>
      <c r="F406" s="2"/>
      <c r="G406" s="105"/>
      <c r="H406" s="15"/>
      <c r="I406" s="25"/>
      <c r="J406" s="21"/>
      <c r="M406" s="29"/>
      <c r="N406" s="29"/>
      <c r="O406" s="29"/>
      <c r="Q406" s="89"/>
    </row>
    <row r="407" spans="1:17" s="5" customFormat="1">
      <c r="A407" s="6"/>
      <c r="B407" s="10"/>
      <c r="C407" s="74"/>
      <c r="D407" s="2"/>
      <c r="E407" s="133"/>
      <c r="F407" s="2"/>
      <c r="G407" s="105"/>
      <c r="H407" s="2"/>
      <c r="I407" s="25"/>
      <c r="J407" s="21"/>
      <c r="M407" s="29"/>
      <c r="N407" s="29"/>
      <c r="O407" s="29"/>
      <c r="Q407" s="89"/>
    </row>
    <row r="408" spans="1:17" s="5" customFormat="1">
      <c r="A408" s="6"/>
      <c r="B408" s="10"/>
      <c r="C408" s="4"/>
      <c r="D408" s="2"/>
      <c r="E408" s="133"/>
      <c r="F408" s="2"/>
      <c r="G408" s="105"/>
      <c r="H408" s="2"/>
      <c r="I408" s="25"/>
      <c r="J408" s="21"/>
      <c r="M408" s="29"/>
      <c r="N408" s="29"/>
      <c r="O408" s="29"/>
      <c r="Q408" s="89"/>
    </row>
    <row r="409" spans="1:17" s="5" customFormat="1" ht="96" customHeight="1">
      <c r="A409" s="6"/>
      <c r="B409" s="10"/>
      <c r="C409" s="192"/>
      <c r="D409" s="2"/>
      <c r="E409" s="133"/>
      <c r="F409" s="2"/>
      <c r="G409" s="105"/>
      <c r="H409" s="15"/>
      <c r="I409" s="25"/>
      <c r="J409" s="21"/>
      <c r="M409" s="29"/>
      <c r="N409" s="29"/>
      <c r="O409" s="29"/>
      <c r="Q409" s="89"/>
    </row>
    <row r="410" spans="1:17" s="5" customFormat="1">
      <c r="A410" s="6"/>
      <c r="B410" s="10"/>
      <c r="C410" s="192"/>
      <c r="D410" s="2"/>
      <c r="E410" s="133"/>
      <c r="F410" s="2"/>
      <c r="G410" s="105"/>
      <c r="H410" s="15"/>
      <c r="I410" s="25"/>
      <c r="J410" s="21"/>
      <c r="M410" s="29"/>
      <c r="N410" s="29"/>
      <c r="O410" s="29"/>
      <c r="Q410" s="89"/>
    </row>
    <row r="411" spans="1:17" s="5" customFormat="1">
      <c r="A411" s="6"/>
      <c r="B411" s="10"/>
      <c r="C411" s="74"/>
      <c r="D411" s="2"/>
      <c r="E411" s="133"/>
      <c r="F411" s="2"/>
      <c r="G411" s="105"/>
      <c r="H411" s="2"/>
      <c r="I411" s="25"/>
      <c r="J411" s="21"/>
      <c r="M411" s="29"/>
      <c r="N411" s="29"/>
      <c r="O411" s="29"/>
      <c r="Q411" s="89"/>
    </row>
    <row r="412" spans="1:17" s="5" customFormat="1">
      <c r="A412" s="6"/>
      <c r="B412" s="10"/>
      <c r="C412" s="192"/>
      <c r="D412" s="2"/>
      <c r="E412" s="133"/>
      <c r="F412" s="2"/>
      <c r="G412" s="105"/>
      <c r="H412" s="2"/>
      <c r="I412" s="25"/>
      <c r="J412" s="21"/>
      <c r="M412" s="29"/>
      <c r="N412" s="29"/>
      <c r="O412" s="29"/>
      <c r="Q412" s="89"/>
    </row>
    <row r="413" spans="1:17" s="5" customFormat="1" ht="96.75" customHeight="1">
      <c r="A413" s="6"/>
      <c r="B413" s="10"/>
      <c r="C413" s="192"/>
      <c r="D413" s="2"/>
      <c r="E413" s="133"/>
      <c r="F413" s="2"/>
      <c r="G413" s="105"/>
      <c r="H413" s="15"/>
      <c r="I413" s="25"/>
      <c r="J413" s="21"/>
      <c r="M413" s="29"/>
      <c r="N413" s="29"/>
      <c r="O413" s="29"/>
      <c r="Q413" s="89"/>
    </row>
    <row r="414" spans="1:17" s="5" customFormat="1">
      <c r="A414" s="6"/>
      <c r="B414" s="10"/>
      <c r="C414" s="192"/>
      <c r="D414" s="2"/>
      <c r="E414" s="133"/>
      <c r="F414" s="2"/>
      <c r="G414" s="105"/>
      <c r="H414" s="15"/>
      <c r="I414" s="25"/>
      <c r="J414" s="21"/>
      <c r="M414" s="29"/>
      <c r="N414" s="29"/>
      <c r="O414" s="29"/>
      <c r="Q414" s="89"/>
    </row>
    <row r="415" spans="1:17" s="5" customFormat="1">
      <c r="A415" s="6"/>
      <c r="B415" s="10"/>
      <c r="C415" s="74"/>
      <c r="D415" s="2"/>
      <c r="E415" s="133"/>
      <c r="F415" s="2"/>
      <c r="G415" s="105"/>
      <c r="H415" s="2"/>
      <c r="I415" s="25"/>
      <c r="J415" s="21"/>
      <c r="M415" s="29"/>
      <c r="N415" s="29"/>
      <c r="O415" s="29"/>
      <c r="Q415" s="89"/>
    </row>
    <row r="416" spans="1:17" s="5" customFormat="1">
      <c r="A416" s="6"/>
      <c r="B416" s="10"/>
      <c r="C416" s="192"/>
      <c r="D416" s="2"/>
      <c r="E416" s="133"/>
      <c r="F416" s="2"/>
      <c r="G416" s="105"/>
      <c r="H416" s="2"/>
      <c r="I416" s="25"/>
      <c r="J416" s="21"/>
      <c r="M416" s="29"/>
      <c r="N416" s="29"/>
      <c r="O416" s="29"/>
      <c r="Q416" s="89"/>
    </row>
    <row r="417" spans="1:17" s="5" customFormat="1" ht="99.2" customHeight="1">
      <c r="A417" s="6"/>
      <c r="B417" s="10"/>
      <c r="C417" s="192"/>
      <c r="D417" s="2"/>
      <c r="E417" s="133"/>
      <c r="F417" s="2"/>
      <c r="G417" s="105"/>
      <c r="H417" s="15"/>
      <c r="I417" s="25"/>
      <c r="J417" s="21"/>
      <c r="K417" s="10"/>
      <c r="M417" s="29"/>
      <c r="N417" s="29"/>
      <c r="O417" s="29"/>
      <c r="Q417" s="89"/>
    </row>
    <row r="418" spans="1:17" s="5" customFormat="1">
      <c r="A418" s="6"/>
      <c r="B418" s="10"/>
      <c r="C418" s="192"/>
      <c r="D418" s="2"/>
      <c r="E418" s="133"/>
      <c r="F418" s="2"/>
      <c r="G418" s="105"/>
      <c r="H418" s="15"/>
      <c r="I418" s="25"/>
      <c r="J418" s="21"/>
      <c r="M418" s="29"/>
      <c r="N418" s="29"/>
      <c r="O418" s="29"/>
      <c r="Q418" s="89"/>
    </row>
    <row r="419" spans="1:17" s="5" customFormat="1">
      <c r="A419" s="6"/>
      <c r="B419" s="10"/>
      <c r="C419" s="74"/>
      <c r="D419" s="2"/>
      <c r="E419" s="133"/>
      <c r="F419" s="2"/>
      <c r="G419" s="105"/>
      <c r="H419" s="2"/>
      <c r="I419" s="25"/>
      <c r="J419" s="21"/>
      <c r="M419" s="29"/>
      <c r="N419" s="29"/>
      <c r="O419" s="29"/>
      <c r="Q419" s="89"/>
    </row>
    <row r="420" spans="1:17" s="5" customFormat="1">
      <c r="A420" s="6"/>
      <c r="B420" s="10"/>
      <c r="C420" s="192"/>
      <c r="D420" s="2"/>
      <c r="E420" s="133"/>
      <c r="F420" s="2"/>
      <c r="G420" s="105"/>
      <c r="H420" s="2"/>
      <c r="I420" s="25"/>
      <c r="J420" s="21"/>
      <c r="M420" s="29"/>
      <c r="N420" s="29"/>
      <c r="O420" s="29"/>
      <c r="Q420" s="89"/>
    </row>
    <row r="421" spans="1:17" s="5" customFormat="1" ht="96" customHeight="1">
      <c r="A421" s="6"/>
      <c r="B421" s="10"/>
      <c r="C421" s="192"/>
      <c r="D421" s="2"/>
      <c r="E421" s="133"/>
      <c r="F421" s="2"/>
      <c r="G421" s="105"/>
      <c r="H421" s="15"/>
      <c r="I421" s="25"/>
      <c r="J421" s="21"/>
      <c r="M421" s="29"/>
      <c r="N421" s="29"/>
      <c r="O421" s="29"/>
      <c r="Q421" s="89"/>
    </row>
    <row r="422" spans="1:17" s="5" customFormat="1">
      <c r="A422" s="6"/>
      <c r="B422" s="10"/>
      <c r="C422" s="192"/>
      <c r="D422" s="2"/>
      <c r="E422" s="133"/>
      <c r="F422" s="2"/>
      <c r="G422" s="105"/>
      <c r="H422" s="15"/>
      <c r="I422" s="25"/>
      <c r="J422" s="21"/>
      <c r="M422" s="29"/>
      <c r="N422" s="29"/>
      <c r="O422" s="29"/>
      <c r="Q422" s="89"/>
    </row>
    <row r="423" spans="1:17" s="5" customFormat="1">
      <c r="A423" s="6"/>
      <c r="B423" s="10"/>
      <c r="C423" s="74"/>
      <c r="D423" s="2"/>
      <c r="E423" s="133"/>
      <c r="F423" s="2"/>
      <c r="G423" s="105"/>
      <c r="H423" s="2"/>
      <c r="I423" s="25"/>
      <c r="J423" s="21"/>
      <c r="M423" s="29"/>
      <c r="N423" s="29"/>
      <c r="O423" s="29"/>
      <c r="Q423" s="89"/>
    </row>
    <row r="424" spans="1:17" s="5" customFormat="1">
      <c r="A424" s="6"/>
      <c r="B424" s="10"/>
      <c r="C424" s="192"/>
      <c r="D424" s="2"/>
      <c r="E424" s="133"/>
      <c r="F424" s="2"/>
      <c r="G424" s="105"/>
      <c r="H424" s="2"/>
      <c r="I424" s="25"/>
      <c r="J424" s="21"/>
      <c r="M424" s="29"/>
      <c r="N424" s="29"/>
      <c r="O424" s="29"/>
      <c r="Q424" s="89"/>
    </row>
    <row r="425" spans="1:17" s="5" customFormat="1" ht="99.2" customHeight="1">
      <c r="A425" s="6"/>
      <c r="B425" s="10"/>
      <c r="C425" s="192"/>
      <c r="D425" s="2"/>
      <c r="E425" s="133"/>
      <c r="F425" s="2"/>
      <c r="G425" s="105"/>
      <c r="H425" s="15"/>
      <c r="I425" s="25"/>
      <c r="J425" s="21"/>
      <c r="K425" s="10"/>
      <c r="M425" s="29"/>
      <c r="N425" s="29"/>
      <c r="O425" s="29"/>
      <c r="Q425" s="89"/>
    </row>
    <row r="426" spans="1:17" s="5" customFormat="1">
      <c r="A426" s="6"/>
      <c r="B426" s="10"/>
      <c r="C426" s="192"/>
      <c r="D426" s="2"/>
      <c r="E426" s="133"/>
      <c r="F426" s="2"/>
      <c r="G426" s="105"/>
      <c r="H426" s="15"/>
      <c r="I426" s="25"/>
      <c r="J426" s="21"/>
      <c r="M426" s="29"/>
      <c r="N426" s="29"/>
      <c r="O426" s="29"/>
      <c r="Q426" s="89"/>
    </row>
    <row r="427" spans="1:17" s="5" customFormat="1">
      <c r="A427" s="6"/>
      <c r="B427" s="10"/>
      <c r="C427" s="74"/>
      <c r="D427" s="2"/>
      <c r="E427" s="133"/>
      <c r="F427" s="2"/>
      <c r="G427" s="105"/>
      <c r="H427" s="2"/>
      <c r="I427" s="25"/>
      <c r="J427" s="21"/>
      <c r="M427" s="29"/>
      <c r="N427" s="29"/>
      <c r="O427" s="29"/>
      <c r="Q427" s="89"/>
    </row>
    <row r="428" spans="1:17" s="5" customFormat="1">
      <c r="A428" s="6"/>
      <c r="B428" s="10"/>
      <c r="C428" s="192"/>
      <c r="D428" s="2"/>
      <c r="E428" s="133"/>
      <c r="F428" s="2"/>
      <c r="G428" s="105"/>
      <c r="H428" s="2"/>
      <c r="I428" s="25"/>
      <c r="J428" s="21"/>
      <c r="M428" s="29"/>
      <c r="N428" s="29"/>
      <c r="O428" s="29"/>
      <c r="Q428" s="89"/>
    </row>
    <row r="429" spans="1:17" s="5" customFormat="1" ht="96" customHeight="1">
      <c r="A429" s="6"/>
      <c r="B429" s="10"/>
      <c r="C429" s="192"/>
      <c r="D429" s="2"/>
      <c r="E429" s="133"/>
      <c r="F429" s="2"/>
      <c r="G429" s="105"/>
      <c r="H429" s="15"/>
      <c r="I429" s="25"/>
      <c r="J429" s="21"/>
      <c r="M429" s="29"/>
      <c r="N429" s="29"/>
      <c r="O429" s="29"/>
      <c r="Q429" s="89"/>
    </row>
    <row r="430" spans="1:17" s="5" customFormat="1">
      <c r="A430" s="6"/>
      <c r="B430" s="10"/>
      <c r="C430" s="192"/>
      <c r="D430" s="2"/>
      <c r="E430" s="133"/>
      <c r="F430" s="2"/>
      <c r="G430" s="105"/>
      <c r="H430" s="15"/>
      <c r="I430" s="25"/>
      <c r="J430" s="21"/>
      <c r="M430" s="29"/>
      <c r="N430" s="29"/>
      <c r="O430" s="29"/>
      <c r="Q430" s="89"/>
    </row>
    <row r="431" spans="1:17" s="5" customFormat="1">
      <c r="A431" s="6"/>
      <c r="B431" s="10"/>
      <c r="C431" s="74"/>
      <c r="D431" s="2"/>
      <c r="E431" s="133"/>
      <c r="F431" s="2"/>
      <c r="G431" s="105"/>
      <c r="H431" s="2"/>
      <c r="I431" s="25"/>
      <c r="J431" s="21"/>
      <c r="M431" s="29"/>
      <c r="N431" s="29"/>
      <c r="O431" s="29"/>
      <c r="Q431" s="89"/>
    </row>
    <row r="432" spans="1:17" s="5" customFormat="1">
      <c r="A432" s="6"/>
      <c r="B432" s="10"/>
      <c r="C432" s="192"/>
      <c r="D432" s="2"/>
      <c r="E432" s="133"/>
      <c r="F432" s="2"/>
      <c r="G432" s="105"/>
      <c r="H432" s="2"/>
      <c r="I432" s="25"/>
      <c r="J432" s="21"/>
      <c r="M432" s="29"/>
      <c r="N432" s="29"/>
      <c r="O432" s="29"/>
      <c r="Q432" s="89"/>
    </row>
    <row r="433" spans="1:17" s="5" customFormat="1" ht="98.25" customHeight="1">
      <c r="A433" s="6"/>
      <c r="B433" s="10"/>
      <c r="C433" s="192"/>
      <c r="D433" s="2"/>
      <c r="E433" s="133"/>
      <c r="F433" s="2"/>
      <c r="G433" s="105"/>
      <c r="H433" s="15"/>
      <c r="I433" s="25"/>
      <c r="J433" s="21"/>
      <c r="M433" s="29"/>
      <c r="N433" s="29"/>
      <c r="O433" s="29"/>
      <c r="Q433" s="89"/>
    </row>
    <row r="434" spans="1:17" s="5" customFormat="1">
      <c r="A434" s="6"/>
      <c r="B434" s="10"/>
      <c r="C434" s="192"/>
      <c r="D434" s="2"/>
      <c r="E434" s="133"/>
      <c r="F434" s="2"/>
      <c r="G434" s="105"/>
      <c r="H434" s="15"/>
      <c r="I434" s="25"/>
      <c r="J434" s="21"/>
      <c r="M434" s="29"/>
      <c r="N434" s="29"/>
      <c r="O434" s="29"/>
      <c r="Q434" s="89"/>
    </row>
    <row r="435" spans="1:17" s="5" customFormat="1">
      <c r="A435" s="6"/>
      <c r="B435" s="10"/>
      <c r="C435" s="74"/>
      <c r="D435" s="2"/>
      <c r="E435" s="133"/>
      <c r="F435" s="2"/>
      <c r="G435" s="105"/>
      <c r="H435" s="2"/>
      <c r="I435" s="25"/>
      <c r="J435" s="21"/>
      <c r="M435" s="29"/>
      <c r="N435" s="29"/>
      <c r="O435" s="29"/>
      <c r="Q435" s="89"/>
    </row>
    <row r="436" spans="1:17" s="5" customFormat="1">
      <c r="A436" s="6"/>
      <c r="B436" s="10"/>
      <c r="C436" s="192"/>
      <c r="D436" s="2"/>
      <c r="E436" s="133"/>
      <c r="F436" s="2"/>
      <c r="G436" s="105"/>
      <c r="H436" s="2"/>
      <c r="I436" s="25"/>
      <c r="J436" s="21"/>
      <c r="M436" s="29"/>
      <c r="N436" s="29"/>
      <c r="O436" s="29"/>
      <c r="Q436" s="89"/>
    </row>
    <row r="437" spans="1:17" s="5" customFormat="1" ht="96" customHeight="1">
      <c r="A437" s="6"/>
      <c r="B437" s="10"/>
      <c r="C437" s="192"/>
      <c r="D437" s="2"/>
      <c r="E437" s="133"/>
      <c r="F437" s="2"/>
      <c r="G437" s="105"/>
      <c r="H437" s="15"/>
      <c r="I437" s="25"/>
      <c r="J437" s="21"/>
      <c r="M437" s="29"/>
      <c r="N437" s="29"/>
      <c r="O437" s="29"/>
      <c r="Q437" s="89"/>
    </row>
    <row r="438" spans="1:17" s="5" customFormat="1">
      <c r="A438" s="6"/>
      <c r="B438" s="10"/>
      <c r="C438" s="192"/>
      <c r="D438" s="2"/>
      <c r="E438" s="133"/>
      <c r="F438" s="2"/>
      <c r="G438" s="105"/>
      <c r="H438" s="15"/>
      <c r="I438" s="25"/>
      <c r="J438" s="21"/>
      <c r="M438" s="29"/>
      <c r="N438" s="29"/>
      <c r="O438" s="29"/>
      <c r="Q438" s="89"/>
    </row>
    <row r="439" spans="1:17" s="5" customFormat="1">
      <c r="A439" s="6"/>
      <c r="B439" s="10"/>
      <c r="C439" s="74"/>
      <c r="D439" s="2"/>
      <c r="E439" s="133"/>
      <c r="F439" s="2"/>
      <c r="G439" s="105"/>
      <c r="H439" s="2"/>
      <c r="I439" s="25"/>
      <c r="J439" s="21"/>
      <c r="M439" s="29"/>
      <c r="N439" s="29"/>
      <c r="O439" s="29"/>
      <c r="Q439" s="89"/>
    </row>
    <row r="440" spans="1:17" s="5" customFormat="1">
      <c r="A440" s="6"/>
      <c r="B440" s="10"/>
      <c r="C440" s="192"/>
      <c r="D440" s="2"/>
      <c r="E440" s="133"/>
      <c r="F440" s="2"/>
      <c r="G440" s="105"/>
      <c r="H440" s="2"/>
      <c r="I440" s="25"/>
      <c r="J440" s="21"/>
      <c r="M440" s="29"/>
      <c r="N440" s="29"/>
      <c r="O440" s="29"/>
      <c r="Q440" s="89"/>
    </row>
    <row r="441" spans="1:17" s="5" customFormat="1" ht="99.2" customHeight="1">
      <c r="A441" s="6"/>
      <c r="B441" s="10"/>
      <c r="C441" s="192"/>
      <c r="D441" s="2"/>
      <c r="E441" s="133"/>
      <c r="F441" s="2"/>
      <c r="G441" s="105"/>
      <c r="H441" s="15"/>
      <c r="I441" s="25"/>
      <c r="J441" s="21"/>
      <c r="M441" s="29"/>
      <c r="N441" s="29"/>
      <c r="O441" s="29"/>
      <c r="Q441" s="89"/>
    </row>
    <row r="442" spans="1:17" s="5" customFormat="1">
      <c r="A442" s="6"/>
      <c r="B442" s="10"/>
      <c r="C442" s="192"/>
      <c r="D442" s="2"/>
      <c r="E442" s="133"/>
      <c r="F442" s="2"/>
      <c r="G442" s="105"/>
      <c r="H442" s="15"/>
      <c r="I442" s="25"/>
      <c r="J442" s="21"/>
      <c r="M442" s="29"/>
      <c r="N442" s="29"/>
      <c r="O442" s="29"/>
      <c r="Q442" s="89"/>
    </row>
    <row r="443" spans="1:17" s="5" customFormat="1">
      <c r="A443" s="6"/>
      <c r="B443" s="10"/>
      <c r="C443" s="74"/>
      <c r="D443" s="2"/>
      <c r="E443" s="133"/>
      <c r="F443" s="2"/>
      <c r="G443" s="105"/>
      <c r="H443" s="2"/>
      <c r="I443" s="25"/>
      <c r="J443" s="21"/>
      <c r="M443" s="29"/>
      <c r="N443" s="29"/>
      <c r="O443" s="29"/>
      <c r="Q443" s="89"/>
    </row>
    <row r="444" spans="1:17" s="5" customFormat="1">
      <c r="A444" s="6"/>
      <c r="B444" s="10"/>
      <c r="C444" s="192"/>
      <c r="D444" s="2"/>
      <c r="E444" s="133"/>
      <c r="F444" s="2"/>
      <c r="G444" s="105"/>
      <c r="H444" s="2"/>
      <c r="I444" s="25"/>
      <c r="J444" s="21"/>
      <c r="M444" s="29"/>
      <c r="N444" s="29"/>
      <c r="O444" s="29"/>
      <c r="Q444" s="89"/>
    </row>
    <row r="445" spans="1:17" s="5" customFormat="1" ht="97.5" customHeight="1">
      <c r="A445" s="6"/>
      <c r="B445" s="10"/>
      <c r="C445" s="192"/>
      <c r="D445" s="2"/>
      <c r="E445" s="133"/>
      <c r="F445" s="2"/>
      <c r="G445" s="105"/>
      <c r="H445" s="15"/>
      <c r="I445" s="25"/>
      <c r="J445" s="21"/>
      <c r="M445" s="29"/>
      <c r="N445" s="29"/>
      <c r="O445" s="29"/>
      <c r="Q445" s="89"/>
    </row>
    <row r="446" spans="1:17" s="5" customFormat="1">
      <c r="A446" s="6"/>
      <c r="B446" s="10"/>
      <c r="C446" s="192"/>
      <c r="D446" s="2"/>
      <c r="E446" s="133"/>
      <c r="F446" s="2"/>
      <c r="G446" s="105"/>
      <c r="H446" s="15"/>
      <c r="I446" s="25"/>
      <c r="J446" s="21"/>
      <c r="M446" s="29"/>
      <c r="N446" s="29"/>
      <c r="O446" s="29"/>
      <c r="Q446" s="89"/>
    </row>
    <row r="447" spans="1:17" s="5" customFormat="1">
      <c r="A447" s="6"/>
      <c r="B447" s="10"/>
      <c r="C447" s="74"/>
      <c r="D447" s="2"/>
      <c r="E447" s="133"/>
      <c r="F447" s="2"/>
      <c r="G447" s="105"/>
      <c r="H447" s="2"/>
      <c r="I447" s="25"/>
      <c r="J447" s="21"/>
      <c r="M447" s="29"/>
      <c r="N447" s="29"/>
      <c r="O447" s="29"/>
      <c r="Q447" s="89"/>
    </row>
    <row r="448" spans="1:17" s="5" customFormat="1">
      <c r="A448" s="6"/>
      <c r="B448" s="10"/>
      <c r="C448" s="192"/>
      <c r="D448" s="2"/>
      <c r="E448" s="133"/>
      <c r="F448" s="2"/>
      <c r="G448" s="105"/>
      <c r="H448" s="2"/>
      <c r="I448" s="25"/>
      <c r="J448" s="21"/>
      <c r="M448" s="29"/>
      <c r="N448" s="29"/>
      <c r="O448" s="29"/>
      <c r="Q448" s="89"/>
    </row>
    <row r="449" spans="1:17" s="5" customFormat="1" ht="96.75" customHeight="1">
      <c r="A449" s="6"/>
      <c r="B449" s="10"/>
      <c r="C449" s="192"/>
      <c r="D449" s="2"/>
      <c r="E449" s="133"/>
      <c r="F449" s="2"/>
      <c r="G449" s="105"/>
      <c r="H449" s="15"/>
      <c r="I449" s="25"/>
      <c r="J449" s="21"/>
      <c r="M449" s="29"/>
      <c r="N449" s="29"/>
      <c r="O449" s="29"/>
      <c r="Q449" s="89"/>
    </row>
    <row r="450" spans="1:17" s="5" customFormat="1">
      <c r="A450" s="6"/>
      <c r="B450" s="10"/>
      <c r="C450" s="192"/>
      <c r="D450" s="2"/>
      <c r="E450" s="133"/>
      <c r="F450" s="2"/>
      <c r="G450" s="105"/>
      <c r="H450" s="15"/>
      <c r="I450" s="25"/>
      <c r="J450" s="21"/>
      <c r="M450" s="29"/>
      <c r="N450" s="29"/>
      <c r="O450" s="29"/>
      <c r="Q450" s="89"/>
    </row>
    <row r="451" spans="1:17" s="5" customFormat="1">
      <c r="A451" s="6"/>
      <c r="B451" s="10"/>
      <c r="C451" s="74"/>
      <c r="D451" s="2"/>
      <c r="E451" s="133"/>
      <c r="F451" s="2"/>
      <c r="G451" s="105"/>
      <c r="H451" s="2"/>
      <c r="I451" s="25"/>
      <c r="J451" s="21"/>
      <c r="M451" s="29"/>
      <c r="N451" s="29"/>
      <c r="O451" s="29"/>
      <c r="Q451" s="89"/>
    </row>
    <row r="452" spans="1:17" s="5" customFormat="1">
      <c r="A452" s="6"/>
      <c r="B452" s="10"/>
      <c r="C452" s="192"/>
      <c r="D452" s="2"/>
      <c r="E452" s="133"/>
      <c r="F452" s="2"/>
      <c r="G452" s="105"/>
      <c r="H452" s="2"/>
      <c r="I452" s="25"/>
      <c r="J452" s="21"/>
      <c r="M452" s="29"/>
      <c r="N452" s="29"/>
      <c r="O452" s="29"/>
      <c r="Q452" s="89"/>
    </row>
    <row r="453" spans="1:17" s="5" customFormat="1" ht="93" customHeight="1">
      <c r="A453" s="6"/>
      <c r="B453" s="10"/>
      <c r="C453" s="192"/>
      <c r="D453" s="2"/>
      <c r="E453" s="133"/>
      <c r="F453" s="2"/>
      <c r="G453" s="105"/>
      <c r="H453" s="15"/>
      <c r="I453" s="25"/>
      <c r="J453" s="21"/>
      <c r="M453" s="29"/>
      <c r="N453" s="29"/>
      <c r="O453" s="29"/>
      <c r="Q453" s="89"/>
    </row>
    <row r="454" spans="1:17" s="5" customFormat="1">
      <c r="A454" s="6"/>
      <c r="B454" s="10"/>
      <c r="C454" s="192"/>
      <c r="D454" s="2"/>
      <c r="E454" s="133"/>
      <c r="F454" s="2"/>
      <c r="G454" s="105"/>
      <c r="H454" s="15"/>
      <c r="I454" s="25"/>
      <c r="J454" s="21"/>
      <c r="M454" s="29"/>
      <c r="N454" s="29"/>
      <c r="O454" s="29"/>
      <c r="Q454" s="89"/>
    </row>
    <row r="455" spans="1:17" s="5" customFormat="1">
      <c r="A455" s="6"/>
      <c r="B455" s="10"/>
      <c r="C455" s="74"/>
      <c r="D455" s="2"/>
      <c r="E455" s="133"/>
      <c r="F455" s="2"/>
      <c r="G455" s="105"/>
      <c r="H455" s="2"/>
      <c r="I455" s="25"/>
      <c r="J455" s="197"/>
      <c r="M455" s="29"/>
      <c r="N455" s="29"/>
      <c r="O455" s="29"/>
      <c r="Q455" s="89"/>
    </row>
    <row r="456" spans="1:17" s="5" customFormat="1">
      <c r="A456" s="6"/>
      <c r="B456" s="10"/>
      <c r="C456" s="192"/>
      <c r="D456" s="2"/>
      <c r="E456" s="133"/>
      <c r="F456" s="2"/>
      <c r="G456" s="105"/>
      <c r="H456" s="2"/>
      <c r="I456" s="25"/>
      <c r="J456" s="21"/>
      <c r="M456" s="29"/>
      <c r="N456" s="29"/>
      <c r="O456" s="29"/>
      <c r="Q456" s="89"/>
    </row>
    <row r="457" spans="1:17" s="5" customFormat="1">
      <c r="A457" s="6"/>
      <c r="B457" s="10"/>
      <c r="C457" s="192"/>
      <c r="D457" s="2"/>
      <c r="E457" s="133"/>
      <c r="F457" s="2"/>
      <c r="G457" s="105"/>
      <c r="H457" s="15"/>
      <c r="I457" s="25"/>
      <c r="J457" s="21"/>
      <c r="M457" s="29"/>
      <c r="N457" s="29"/>
      <c r="O457" s="29"/>
      <c r="Q457" s="89"/>
    </row>
    <row r="458" spans="1:17" s="5" customFormat="1">
      <c r="A458" s="6"/>
      <c r="B458" s="10"/>
      <c r="C458" s="192"/>
      <c r="D458" s="2"/>
      <c r="E458" s="133"/>
      <c r="F458" s="2"/>
      <c r="G458" s="105"/>
      <c r="H458" s="15"/>
      <c r="I458" s="25"/>
      <c r="J458" s="21"/>
      <c r="M458" s="29"/>
      <c r="N458" s="29"/>
      <c r="O458" s="29"/>
      <c r="Q458" s="89"/>
    </row>
    <row r="459" spans="1:17" s="5" customFormat="1">
      <c r="A459" s="6"/>
      <c r="B459" s="10"/>
      <c r="C459" s="74"/>
      <c r="D459" s="2"/>
      <c r="E459" s="133"/>
      <c r="F459" s="2"/>
      <c r="G459" s="105"/>
      <c r="H459" s="2"/>
      <c r="I459" s="25"/>
      <c r="J459" s="21"/>
      <c r="M459" s="29"/>
      <c r="N459" s="29"/>
      <c r="O459" s="29"/>
      <c r="Q459" s="89"/>
    </row>
    <row r="460" spans="1:17" s="5" customFormat="1">
      <c r="A460" s="6"/>
      <c r="B460" s="10"/>
      <c r="C460" s="74"/>
      <c r="D460" s="2"/>
      <c r="E460" s="133"/>
      <c r="F460" s="2"/>
      <c r="G460" s="105"/>
      <c r="H460" s="2"/>
      <c r="I460" s="25"/>
      <c r="J460" s="21"/>
      <c r="M460" s="29"/>
      <c r="N460" s="29"/>
      <c r="O460" s="29"/>
      <c r="Q460" s="89"/>
    </row>
    <row r="461" spans="1:17" ht="93.75" customHeight="1">
      <c r="B461" s="10"/>
      <c r="H461" s="175"/>
    </row>
    <row r="462" spans="1:17">
      <c r="B462" s="167"/>
      <c r="H462" s="175"/>
    </row>
    <row r="463" spans="1:17">
      <c r="B463" s="167"/>
      <c r="C463" s="173"/>
      <c r="H463" s="132"/>
      <c r="Q463" s="198"/>
    </row>
    <row r="464" spans="1:17">
      <c r="B464" s="167"/>
      <c r="H464" s="132"/>
      <c r="Q464" s="198"/>
    </row>
    <row r="465" spans="2:17" ht="112.5" customHeight="1">
      <c r="B465" s="10"/>
      <c r="H465" s="175"/>
    </row>
    <row r="466" spans="2:17">
      <c r="B466" s="167"/>
      <c r="H466" s="175"/>
    </row>
    <row r="467" spans="2:17">
      <c r="B467" s="167"/>
      <c r="C467" s="173"/>
      <c r="H467" s="132"/>
      <c r="Q467" s="198"/>
    </row>
    <row r="468" spans="2:17">
      <c r="B468" s="167"/>
      <c r="H468" s="132"/>
      <c r="J468" s="199"/>
      <c r="Q468" s="198"/>
    </row>
    <row r="469" spans="2:17" ht="81.75" customHeight="1">
      <c r="B469" s="10"/>
      <c r="H469" s="175"/>
    </row>
    <row r="470" spans="2:17">
      <c r="B470" s="167"/>
      <c r="H470" s="175"/>
    </row>
    <row r="471" spans="2:17">
      <c r="B471" s="167"/>
      <c r="C471" s="173"/>
      <c r="H471" s="132"/>
      <c r="Q471" s="198"/>
    </row>
    <row r="472" spans="2:17">
      <c r="B472" s="167"/>
      <c r="H472" s="132"/>
      <c r="Q472" s="198"/>
    </row>
    <row r="473" spans="2:17">
      <c r="B473" s="167"/>
      <c r="H473" s="132"/>
      <c r="Q473" s="198"/>
    </row>
    <row r="474" spans="2:17" ht="28.5" customHeight="1">
      <c r="B474" s="10"/>
      <c r="H474" s="175"/>
    </row>
    <row r="475" spans="2:17">
      <c r="B475" s="167"/>
      <c r="H475" s="175"/>
    </row>
    <row r="476" spans="2:17">
      <c r="B476" s="167"/>
      <c r="C476" s="173"/>
      <c r="H476" s="132"/>
      <c r="Q476" s="198"/>
    </row>
    <row r="477" spans="2:17">
      <c r="B477" s="167"/>
      <c r="C477" s="173"/>
      <c r="H477" s="132"/>
      <c r="I477" s="136"/>
      <c r="J477" s="136"/>
      <c r="M477" s="136"/>
      <c r="N477" s="136"/>
      <c r="O477" s="136"/>
    </row>
    <row r="478" spans="2:17" ht="84" customHeight="1">
      <c r="B478" s="10"/>
      <c r="H478" s="175"/>
    </row>
    <row r="479" spans="2:17">
      <c r="B479" s="167"/>
      <c r="H479" s="175"/>
    </row>
    <row r="480" spans="2:17">
      <c r="B480" s="167"/>
      <c r="C480" s="173"/>
      <c r="H480" s="132"/>
      <c r="Q480" s="198"/>
    </row>
    <row r="481" spans="1:17">
      <c r="B481" s="167"/>
      <c r="C481" s="173"/>
      <c r="H481" s="132"/>
      <c r="Q481" s="198"/>
    </row>
    <row r="482" spans="1:17">
      <c r="B482" s="10"/>
      <c r="H482" s="175"/>
    </row>
    <row r="483" spans="1:17">
      <c r="B483" s="167"/>
      <c r="H483" s="175"/>
    </row>
    <row r="484" spans="1:17">
      <c r="B484" s="167"/>
      <c r="C484" s="173"/>
      <c r="H484" s="132"/>
      <c r="Q484" s="198"/>
    </row>
    <row r="485" spans="1:17">
      <c r="B485" s="167"/>
      <c r="C485" s="173"/>
      <c r="H485" s="132"/>
      <c r="Q485" s="198"/>
    </row>
    <row r="486" spans="1:17">
      <c r="B486" s="10"/>
      <c r="H486" s="175"/>
    </row>
    <row r="487" spans="1:17">
      <c r="B487" s="167"/>
      <c r="H487" s="175"/>
    </row>
    <row r="488" spans="1:17">
      <c r="B488" s="167"/>
      <c r="C488" s="173"/>
      <c r="H488" s="132"/>
      <c r="Q488" s="198"/>
    </row>
    <row r="489" spans="1:17" s="5" customFormat="1">
      <c r="A489" s="6"/>
      <c r="B489" s="10"/>
      <c r="C489" s="192"/>
      <c r="D489" s="2"/>
      <c r="E489" s="133"/>
      <c r="F489" s="2"/>
      <c r="G489" s="105"/>
      <c r="H489" s="2"/>
      <c r="Q489" s="89"/>
    </row>
    <row r="490" spans="1:17">
      <c r="B490" s="10"/>
      <c r="H490" s="175"/>
    </row>
    <row r="491" spans="1:17">
      <c r="B491" s="167"/>
      <c r="H491" s="175"/>
    </row>
    <row r="492" spans="1:17">
      <c r="B492" s="167"/>
      <c r="C492" s="173"/>
      <c r="H492" s="132"/>
      <c r="Q492" s="198"/>
    </row>
    <row r="493" spans="1:17">
      <c r="B493" s="167"/>
      <c r="C493" s="173"/>
      <c r="H493" s="132"/>
      <c r="Q493" s="198"/>
    </row>
    <row r="494" spans="1:17">
      <c r="B494" s="10"/>
      <c r="H494" s="175"/>
    </row>
    <row r="495" spans="1:17">
      <c r="B495" s="167"/>
      <c r="H495" s="175"/>
    </row>
    <row r="496" spans="1:17">
      <c r="B496" s="167"/>
      <c r="C496" s="173"/>
      <c r="H496" s="132"/>
      <c r="Q496" s="198"/>
    </row>
    <row r="497" spans="2:17">
      <c r="B497" s="167"/>
      <c r="C497" s="173"/>
      <c r="H497" s="132"/>
      <c r="Q497" s="198"/>
    </row>
    <row r="498" spans="2:17">
      <c r="B498" s="10"/>
      <c r="H498" s="175"/>
    </row>
    <row r="499" spans="2:17">
      <c r="B499" s="167"/>
      <c r="H499" s="175"/>
    </row>
    <row r="500" spans="2:17">
      <c r="B500" s="167"/>
      <c r="C500" s="173"/>
      <c r="H500" s="132"/>
      <c r="Q500" s="198"/>
    </row>
    <row r="501" spans="2:17">
      <c r="B501" s="167"/>
      <c r="H501" s="132"/>
      <c r="Q501" s="198"/>
    </row>
    <row r="502" spans="2:17">
      <c r="B502" s="10"/>
      <c r="H502" s="175"/>
    </row>
    <row r="503" spans="2:17">
      <c r="B503" s="167"/>
      <c r="H503" s="175"/>
    </row>
    <row r="504" spans="2:17">
      <c r="B504" s="167"/>
      <c r="C504" s="173"/>
      <c r="H504" s="132"/>
      <c r="Q504" s="198"/>
    </row>
    <row r="505" spans="2:17">
      <c r="B505" s="167"/>
      <c r="C505" s="173"/>
      <c r="H505" s="132"/>
      <c r="K505" s="153"/>
      <c r="L505" s="153"/>
      <c r="Q505" s="198"/>
    </row>
    <row r="506" spans="2:17">
      <c r="B506" s="10"/>
      <c r="H506" s="175"/>
    </row>
    <row r="507" spans="2:17">
      <c r="B507" s="167"/>
      <c r="H507" s="175"/>
    </row>
    <row r="508" spans="2:17">
      <c r="B508" s="167"/>
      <c r="C508" s="173"/>
      <c r="H508" s="132"/>
      <c r="Q508" s="198"/>
    </row>
    <row r="509" spans="2:17">
      <c r="B509" s="167"/>
      <c r="C509" s="173"/>
      <c r="H509" s="132"/>
      <c r="Q509" s="198"/>
    </row>
    <row r="510" spans="2:17">
      <c r="B510" s="10"/>
      <c r="H510" s="175"/>
    </row>
    <row r="511" spans="2:17">
      <c r="B511" s="167"/>
      <c r="H511" s="175"/>
    </row>
    <row r="512" spans="2:17">
      <c r="B512" s="167"/>
      <c r="C512" s="173"/>
      <c r="H512" s="132"/>
      <c r="Q512" s="198"/>
    </row>
    <row r="513" spans="2:17">
      <c r="B513" s="167"/>
      <c r="H513" s="132"/>
      <c r="Q513" s="198"/>
    </row>
    <row r="514" spans="2:17">
      <c r="B514" s="10"/>
      <c r="H514" s="175"/>
    </row>
    <row r="515" spans="2:17">
      <c r="B515" s="167"/>
      <c r="H515" s="175"/>
    </row>
    <row r="516" spans="2:17">
      <c r="B516" s="167"/>
      <c r="C516" s="173"/>
      <c r="H516" s="132"/>
      <c r="Q516" s="198"/>
    </row>
    <row r="517" spans="2:17">
      <c r="B517" s="167"/>
      <c r="H517" s="132"/>
      <c r="Q517" s="198"/>
    </row>
    <row r="518" spans="2:17">
      <c r="B518" s="10"/>
      <c r="H518" s="175"/>
    </row>
    <row r="519" spans="2:17">
      <c r="B519" s="167"/>
      <c r="H519" s="175"/>
    </row>
    <row r="520" spans="2:17">
      <c r="B520" s="167"/>
      <c r="C520" s="173"/>
      <c r="H520" s="132"/>
      <c r="Q520" s="198"/>
    </row>
    <row r="521" spans="2:17">
      <c r="B521" s="167"/>
      <c r="C521" s="173"/>
      <c r="H521" s="132"/>
      <c r="Q521" s="198"/>
    </row>
    <row r="522" spans="2:17">
      <c r="B522" s="10"/>
      <c r="H522" s="175"/>
    </row>
    <row r="523" spans="2:17">
      <c r="B523" s="167"/>
      <c r="H523" s="175"/>
    </row>
    <row r="524" spans="2:17">
      <c r="B524" s="167"/>
      <c r="C524" s="173"/>
      <c r="H524" s="132"/>
      <c r="Q524" s="198"/>
    </row>
    <row r="525" spans="2:17">
      <c r="B525" s="167"/>
      <c r="C525" s="173"/>
      <c r="H525" s="132"/>
      <c r="Q525" s="198"/>
    </row>
    <row r="526" spans="2:17">
      <c r="B526" s="10"/>
      <c r="H526" s="175"/>
    </row>
    <row r="527" spans="2:17">
      <c r="B527" s="167"/>
      <c r="H527" s="175"/>
    </row>
    <row r="528" spans="2:17">
      <c r="B528" s="167"/>
      <c r="C528" s="173"/>
      <c r="H528" s="132"/>
      <c r="Q528" s="198"/>
    </row>
    <row r="529" spans="2:17">
      <c r="B529" s="167"/>
      <c r="C529" s="173"/>
      <c r="H529" s="132"/>
      <c r="Q529" s="198"/>
    </row>
    <row r="530" spans="2:17">
      <c r="B530" s="10"/>
      <c r="H530" s="175"/>
    </row>
    <row r="531" spans="2:17">
      <c r="B531" s="167"/>
      <c r="H531" s="175"/>
    </row>
    <row r="532" spans="2:17">
      <c r="B532" s="167"/>
      <c r="C532" s="173"/>
      <c r="H532" s="132"/>
      <c r="Q532" s="198"/>
    </row>
    <row r="533" spans="2:17">
      <c r="B533" s="167"/>
      <c r="H533" s="132"/>
      <c r="Q533" s="198"/>
    </row>
    <row r="534" spans="2:17">
      <c r="B534" s="10"/>
      <c r="H534" s="175"/>
    </row>
    <row r="535" spans="2:17">
      <c r="B535" s="167"/>
      <c r="H535" s="175"/>
    </row>
    <row r="536" spans="2:17">
      <c r="B536" s="167"/>
      <c r="C536" s="173"/>
      <c r="H536" s="132"/>
      <c r="Q536" s="198"/>
    </row>
    <row r="537" spans="2:17">
      <c r="B537" s="167"/>
      <c r="H537" s="132"/>
      <c r="Q537" s="198"/>
    </row>
    <row r="538" spans="2:17">
      <c r="B538" s="10"/>
      <c r="H538" s="175"/>
    </row>
    <row r="539" spans="2:17">
      <c r="B539" s="167"/>
      <c r="H539" s="175"/>
    </row>
    <row r="540" spans="2:17">
      <c r="B540" s="167"/>
      <c r="C540" s="173"/>
      <c r="H540" s="132"/>
      <c r="Q540" s="198"/>
    </row>
    <row r="541" spans="2:17">
      <c r="B541" s="167"/>
      <c r="C541" s="173"/>
      <c r="H541" s="132"/>
      <c r="Q541" s="198"/>
    </row>
    <row r="542" spans="2:17" ht="96" customHeight="1">
      <c r="B542" s="10"/>
      <c r="H542" s="175"/>
    </row>
    <row r="543" spans="2:17">
      <c r="B543" s="167"/>
      <c r="H543" s="175"/>
    </row>
    <row r="544" spans="2:17">
      <c r="B544" s="167"/>
      <c r="C544" s="173"/>
      <c r="H544" s="132"/>
      <c r="Q544" s="198"/>
    </row>
    <row r="545" spans="2:17">
      <c r="B545" s="167"/>
      <c r="C545" s="173"/>
      <c r="H545" s="132"/>
      <c r="Q545" s="198"/>
    </row>
    <row r="546" spans="2:17">
      <c r="B546" s="10"/>
      <c r="H546" s="175"/>
    </row>
    <row r="547" spans="2:17">
      <c r="B547" s="167"/>
      <c r="H547" s="175"/>
    </row>
    <row r="548" spans="2:17">
      <c r="B548" s="167"/>
      <c r="C548" s="173"/>
      <c r="H548" s="132"/>
      <c r="Q548" s="198"/>
    </row>
    <row r="549" spans="2:17">
      <c r="B549" s="167"/>
      <c r="H549" s="132"/>
      <c r="Q549" s="198"/>
    </row>
    <row r="550" spans="2:17">
      <c r="B550" s="10"/>
      <c r="H550" s="175"/>
    </row>
    <row r="551" spans="2:17">
      <c r="B551" s="167"/>
      <c r="H551" s="175"/>
    </row>
    <row r="552" spans="2:17">
      <c r="B552" s="167"/>
      <c r="C552" s="173"/>
      <c r="H552" s="132"/>
      <c r="Q552" s="198"/>
    </row>
    <row r="553" spans="2:17">
      <c r="B553" s="167"/>
      <c r="C553" s="173"/>
      <c r="H553" s="132"/>
      <c r="Q553" s="198"/>
    </row>
    <row r="554" spans="2:17">
      <c r="B554" s="10"/>
      <c r="H554" s="175"/>
    </row>
    <row r="555" spans="2:17">
      <c r="B555" s="167"/>
      <c r="H555" s="175"/>
    </row>
    <row r="556" spans="2:17">
      <c r="B556" s="167"/>
      <c r="C556" s="173"/>
      <c r="H556" s="132"/>
      <c r="Q556" s="198"/>
    </row>
    <row r="557" spans="2:17">
      <c r="B557" s="167"/>
      <c r="C557" s="173"/>
      <c r="H557" s="132"/>
      <c r="Q557" s="198"/>
    </row>
    <row r="558" spans="2:17">
      <c r="B558" s="10"/>
      <c r="H558" s="175"/>
    </row>
    <row r="559" spans="2:17">
      <c r="B559" s="167"/>
      <c r="H559" s="175"/>
    </row>
    <row r="560" spans="2:17">
      <c r="B560" s="167"/>
      <c r="C560" s="173"/>
      <c r="H560" s="132"/>
      <c r="Q560" s="198"/>
    </row>
    <row r="561" spans="2:17">
      <c r="B561" s="167"/>
      <c r="H561" s="132"/>
      <c r="Q561" s="198"/>
    </row>
    <row r="562" spans="2:17">
      <c r="B562" s="10"/>
      <c r="H562" s="175"/>
    </row>
    <row r="563" spans="2:17">
      <c r="B563" s="167"/>
      <c r="H563" s="175"/>
    </row>
    <row r="564" spans="2:17">
      <c r="B564" s="167"/>
      <c r="C564" s="173"/>
      <c r="H564" s="132"/>
      <c r="Q564" s="198"/>
    </row>
    <row r="565" spans="2:17">
      <c r="B565" s="167"/>
      <c r="C565" s="173"/>
      <c r="H565" s="132"/>
      <c r="Q565" s="198"/>
    </row>
    <row r="566" spans="2:17">
      <c r="B566" s="10"/>
      <c r="H566" s="175"/>
    </row>
    <row r="567" spans="2:17">
      <c r="B567" s="167"/>
      <c r="H567" s="175"/>
    </row>
    <row r="568" spans="2:17">
      <c r="B568" s="167"/>
      <c r="C568" s="173"/>
      <c r="H568" s="132"/>
      <c r="Q568" s="198"/>
    </row>
    <row r="569" spans="2:17">
      <c r="B569" s="167"/>
      <c r="H569" s="132"/>
      <c r="Q569" s="198"/>
    </row>
    <row r="570" spans="2:17">
      <c r="B570" s="10"/>
      <c r="H570" s="175"/>
    </row>
    <row r="571" spans="2:17">
      <c r="B571" s="167"/>
      <c r="H571" s="175"/>
    </row>
    <row r="572" spans="2:17">
      <c r="B572" s="167"/>
      <c r="C572" s="173"/>
      <c r="H572" s="132"/>
      <c r="Q572" s="198"/>
    </row>
    <row r="573" spans="2:17">
      <c r="B573" s="167"/>
      <c r="C573" s="173"/>
      <c r="H573" s="132"/>
      <c r="Q573" s="198"/>
    </row>
    <row r="574" spans="2:17">
      <c r="B574" s="10"/>
      <c r="H574" s="175"/>
    </row>
    <row r="575" spans="2:17">
      <c r="B575" s="167"/>
      <c r="H575" s="175"/>
    </row>
    <row r="576" spans="2:17">
      <c r="B576" s="167"/>
      <c r="C576" s="173"/>
      <c r="H576" s="132"/>
      <c r="Q576" s="198"/>
    </row>
    <row r="577" spans="2:17">
      <c r="B577" s="167"/>
      <c r="H577" s="132"/>
      <c r="Q577" s="198"/>
    </row>
    <row r="578" spans="2:17">
      <c r="B578" s="10"/>
      <c r="H578" s="175"/>
    </row>
    <row r="579" spans="2:17">
      <c r="B579" s="167"/>
      <c r="H579" s="175"/>
    </row>
    <row r="580" spans="2:17">
      <c r="B580" s="167"/>
      <c r="C580" s="173"/>
      <c r="H580" s="132"/>
      <c r="Q580" s="198"/>
    </row>
    <row r="581" spans="2:17">
      <c r="B581" s="167"/>
      <c r="C581" s="173"/>
      <c r="H581" s="132"/>
      <c r="Q581" s="198"/>
    </row>
    <row r="582" spans="2:17">
      <c r="B582" s="10"/>
      <c r="H582" s="175"/>
    </row>
    <row r="583" spans="2:17">
      <c r="B583" s="167"/>
      <c r="H583" s="175"/>
    </row>
    <row r="584" spans="2:17">
      <c r="B584" s="167"/>
      <c r="C584" s="173"/>
      <c r="H584" s="132"/>
      <c r="Q584" s="198"/>
    </row>
    <row r="585" spans="2:17">
      <c r="B585" s="167"/>
      <c r="H585" s="132"/>
      <c r="Q585" s="198"/>
    </row>
    <row r="586" spans="2:17">
      <c r="B586" s="10"/>
      <c r="H586" s="175"/>
    </row>
    <row r="587" spans="2:17">
      <c r="B587" s="167"/>
      <c r="H587" s="175"/>
    </row>
    <row r="588" spans="2:17">
      <c r="B588" s="167"/>
      <c r="C588" s="173"/>
      <c r="H588" s="132"/>
      <c r="Q588" s="198"/>
    </row>
    <row r="589" spans="2:17">
      <c r="B589" s="167"/>
      <c r="C589" s="173"/>
      <c r="H589" s="132"/>
      <c r="Q589" s="198"/>
    </row>
    <row r="590" spans="2:17">
      <c r="B590" s="10"/>
      <c r="H590" s="175"/>
    </row>
    <row r="591" spans="2:17">
      <c r="B591" s="167"/>
      <c r="H591" s="175"/>
    </row>
    <row r="592" spans="2:17">
      <c r="B592" s="167"/>
      <c r="C592" s="173"/>
      <c r="H592" s="132"/>
      <c r="Q592" s="198"/>
    </row>
    <row r="593" spans="1:17">
      <c r="B593" s="167"/>
      <c r="C593" s="173"/>
      <c r="H593" s="132"/>
      <c r="Q593" s="198"/>
    </row>
    <row r="594" spans="1:17">
      <c r="B594" s="10"/>
      <c r="H594" s="175"/>
    </row>
    <row r="595" spans="1:17">
      <c r="B595" s="167"/>
      <c r="H595" s="175"/>
    </row>
    <row r="596" spans="1:17">
      <c r="B596" s="167"/>
      <c r="C596" s="173"/>
      <c r="H596" s="132"/>
      <c r="Q596" s="198"/>
    </row>
    <row r="597" spans="1:17">
      <c r="B597" s="167"/>
      <c r="C597" s="173"/>
      <c r="H597" s="132"/>
      <c r="Q597" s="198"/>
    </row>
    <row r="598" spans="1:17">
      <c r="B598" s="10"/>
      <c r="H598" s="175"/>
    </row>
    <row r="599" spans="1:17">
      <c r="B599" s="167"/>
      <c r="H599" s="175"/>
    </row>
    <row r="600" spans="1:17">
      <c r="B600" s="167"/>
      <c r="C600" s="173"/>
      <c r="H600" s="132"/>
      <c r="Q600" s="198"/>
    </row>
    <row r="601" spans="1:17">
      <c r="B601" s="167"/>
      <c r="C601" s="173"/>
      <c r="H601" s="132"/>
      <c r="Q601" s="198"/>
    </row>
    <row r="602" spans="1:17">
      <c r="B602" s="10"/>
      <c r="H602" s="175"/>
    </row>
    <row r="603" spans="1:17">
      <c r="B603" s="167"/>
      <c r="H603" s="175"/>
    </row>
    <row r="604" spans="1:17">
      <c r="B604" s="167"/>
      <c r="C604" s="173"/>
      <c r="H604" s="132"/>
      <c r="Q604" s="198"/>
    </row>
    <row r="605" spans="1:17">
      <c r="B605" s="167"/>
      <c r="C605" s="173"/>
      <c r="H605" s="132"/>
    </row>
    <row r="606" spans="1:17">
      <c r="A606" s="6"/>
      <c r="B606" s="10"/>
      <c r="C606" s="75"/>
      <c r="D606" s="2"/>
      <c r="F606" s="2"/>
      <c r="G606" s="94"/>
      <c r="H606" s="15"/>
      <c r="Q606" s="89"/>
    </row>
    <row r="607" spans="1:17">
      <c r="A607" s="6"/>
      <c r="B607" s="10"/>
      <c r="C607" s="2"/>
      <c r="D607" s="2"/>
      <c r="F607" s="2"/>
      <c r="G607" s="94"/>
      <c r="H607" s="2"/>
      <c r="Q607" s="89"/>
    </row>
    <row r="608" spans="1:17">
      <c r="A608" s="6"/>
      <c r="B608" s="10"/>
      <c r="C608" s="4"/>
      <c r="D608" s="2"/>
      <c r="F608" s="2"/>
      <c r="G608" s="89"/>
      <c r="H608" s="2"/>
      <c r="Q608" s="89"/>
    </row>
    <row r="609" spans="1:17">
      <c r="B609" s="167"/>
      <c r="H609" s="132"/>
    </row>
    <row r="610" spans="1:17" ht="81.2" customHeight="1">
      <c r="B610" s="189"/>
      <c r="H610" s="175"/>
    </row>
    <row r="611" spans="1:17">
      <c r="B611" s="189"/>
      <c r="H611" s="175"/>
    </row>
    <row r="612" spans="1:17">
      <c r="B612" s="167"/>
      <c r="C612" s="173"/>
      <c r="H612" s="132"/>
      <c r="K612" s="190"/>
    </row>
    <row r="613" spans="1:17">
      <c r="B613" s="167"/>
      <c r="H613" s="175"/>
      <c r="I613" s="136"/>
      <c r="J613" s="136"/>
      <c r="M613" s="136"/>
      <c r="N613" s="136"/>
      <c r="O613" s="136"/>
    </row>
    <row r="614" spans="1:17">
      <c r="B614" s="167"/>
      <c r="H614" s="175"/>
      <c r="I614" s="136"/>
      <c r="J614" s="136"/>
      <c r="M614" s="136"/>
      <c r="N614" s="136"/>
      <c r="O614" s="136"/>
    </row>
    <row r="615" spans="1:17">
      <c r="B615" s="167"/>
      <c r="H615" s="175"/>
      <c r="I615" s="136"/>
      <c r="J615" s="136"/>
      <c r="M615" s="136"/>
      <c r="N615" s="136"/>
      <c r="O615" s="136"/>
    </row>
    <row r="616" spans="1:17">
      <c r="B616" s="167"/>
      <c r="C616" s="173"/>
      <c r="H616" s="132"/>
      <c r="I616" s="136"/>
      <c r="J616" s="136"/>
      <c r="M616" s="136"/>
      <c r="N616" s="136"/>
      <c r="O616" s="136"/>
    </row>
    <row r="617" spans="1:17">
      <c r="B617" s="167"/>
      <c r="C617" s="173"/>
      <c r="H617" s="132"/>
      <c r="I617" s="136"/>
      <c r="J617" s="136"/>
      <c r="M617" s="136"/>
      <c r="N617" s="136"/>
      <c r="O617" s="136"/>
    </row>
    <row r="618" spans="1:17">
      <c r="B618" s="167"/>
      <c r="H618" s="175"/>
      <c r="I618" s="136"/>
      <c r="J618" s="136"/>
      <c r="M618" s="136"/>
      <c r="N618" s="136"/>
      <c r="O618" s="136"/>
    </row>
    <row r="619" spans="1:17">
      <c r="B619" s="167"/>
      <c r="H619" s="175"/>
      <c r="I619" s="136"/>
      <c r="J619" s="136"/>
      <c r="M619" s="136"/>
      <c r="N619" s="136"/>
      <c r="O619" s="136"/>
    </row>
    <row r="620" spans="1:17">
      <c r="B620" s="167"/>
      <c r="C620" s="173"/>
      <c r="H620" s="132"/>
      <c r="I620" s="136"/>
      <c r="J620" s="136"/>
      <c r="M620" s="136"/>
      <c r="N620" s="136"/>
      <c r="O620" s="136"/>
    </row>
    <row r="621" spans="1:17">
      <c r="B621" s="167"/>
      <c r="H621" s="132"/>
      <c r="I621" s="136"/>
      <c r="J621" s="136"/>
      <c r="M621" s="136"/>
      <c r="N621" s="136"/>
      <c r="O621" s="136"/>
    </row>
    <row r="622" spans="1:17" s="5" customFormat="1">
      <c r="A622" s="6"/>
      <c r="B622" s="10"/>
      <c r="C622" s="2"/>
      <c r="D622" s="2"/>
      <c r="E622" s="133"/>
      <c r="F622" s="2"/>
      <c r="G622" s="105"/>
      <c r="H622" s="15"/>
      <c r="Q622" s="89"/>
    </row>
    <row r="623" spans="1:17" s="5" customFormat="1">
      <c r="A623" s="6"/>
      <c r="B623" s="10"/>
      <c r="C623" s="2"/>
      <c r="D623" s="2"/>
      <c r="E623" s="133"/>
      <c r="F623" s="2"/>
      <c r="G623" s="105"/>
      <c r="H623" s="15"/>
      <c r="Q623" s="89"/>
    </row>
    <row r="624" spans="1:17" s="5" customFormat="1">
      <c r="A624" s="6"/>
      <c r="B624" s="10"/>
      <c r="C624" s="4"/>
      <c r="D624" s="2"/>
      <c r="E624" s="133"/>
      <c r="F624" s="2"/>
      <c r="G624" s="105"/>
      <c r="H624" s="2"/>
      <c r="Q624" s="89"/>
    </row>
    <row r="625" spans="1:17" s="5" customFormat="1">
      <c r="A625" s="6"/>
      <c r="B625" s="10"/>
      <c r="C625" s="4"/>
      <c r="D625" s="2"/>
      <c r="E625" s="133"/>
      <c r="F625" s="2"/>
      <c r="G625" s="105"/>
      <c r="H625" s="2"/>
      <c r="Q625" s="89"/>
    </row>
    <row r="626" spans="1:17" s="5" customFormat="1">
      <c r="A626" s="6"/>
      <c r="B626" s="10"/>
      <c r="C626" s="2"/>
      <c r="D626" s="2"/>
      <c r="E626" s="133"/>
      <c r="F626" s="2"/>
      <c r="G626" s="105"/>
      <c r="H626" s="15"/>
      <c r="Q626" s="89"/>
    </row>
    <row r="627" spans="1:17" s="5" customFormat="1">
      <c r="A627" s="6"/>
      <c r="B627" s="10"/>
      <c r="C627" s="2"/>
      <c r="D627" s="2"/>
      <c r="E627" s="133"/>
      <c r="F627" s="2"/>
      <c r="G627" s="105"/>
      <c r="H627" s="15"/>
      <c r="Q627" s="89"/>
    </row>
    <row r="628" spans="1:17" s="5" customFormat="1">
      <c r="A628" s="6"/>
      <c r="B628" s="10"/>
      <c r="C628" s="76"/>
      <c r="D628" s="2"/>
      <c r="E628" s="133"/>
      <c r="F628" s="2"/>
      <c r="G628" s="105"/>
      <c r="H628" s="2"/>
      <c r="Q628" s="89"/>
    </row>
    <row r="629" spans="1:17" s="5" customFormat="1">
      <c r="A629" s="6"/>
      <c r="B629" s="10"/>
      <c r="C629" s="4"/>
      <c r="D629" s="2"/>
      <c r="E629" s="133"/>
      <c r="F629" s="2"/>
      <c r="G629" s="105"/>
      <c r="H629" s="2"/>
      <c r="Q629" s="89"/>
    </row>
    <row r="630" spans="1:17" s="5" customFormat="1">
      <c r="A630" s="6"/>
      <c r="B630" s="10"/>
      <c r="C630" s="2"/>
      <c r="D630" s="2"/>
      <c r="E630" s="133"/>
      <c r="F630" s="2"/>
      <c r="G630" s="105"/>
      <c r="H630" s="15"/>
      <c r="Q630" s="89"/>
    </row>
    <row r="631" spans="1:17" s="5" customFormat="1">
      <c r="A631" s="6"/>
      <c r="B631" s="10"/>
      <c r="C631" s="2"/>
      <c r="D631" s="2"/>
      <c r="E631" s="133"/>
      <c r="F631" s="2"/>
      <c r="G631" s="105"/>
      <c r="H631" s="15"/>
      <c r="Q631" s="89"/>
    </row>
    <row r="632" spans="1:17" s="5" customFormat="1">
      <c r="A632" s="6"/>
      <c r="B632" s="10"/>
      <c r="C632" s="4"/>
      <c r="D632" s="2"/>
      <c r="E632" s="133"/>
      <c r="F632" s="2"/>
      <c r="G632" s="105"/>
      <c r="H632" s="2"/>
      <c r="Q632" s="89"/>
    </row>
    <row r="633" spans="1:17" s="5" customFormat="1">
      <c r="A633" s="6"/>
      <c r="B633" s="10"/>
      <c r="C633" s="4"/>
      <c r="D633" s="2"/>
      <c r="E633" s="133"/>
      <c r="F633" s="2"/>
      <c r="G633" s="105"/>
      <c r="H633" s="2"/>
      <c r="Q633" s="89"/>
    </row>
    <row r="634" spans="1:17" s="5" customFormat="1" ht="80.25" customHeight="1">
      <c r="A634" s="6"/>
      <c r="B634" s="10"/>
      <c r="C634" s="2"/>
      <c r="D634" s="2"/>
      <c r="E634" s="133"/>
      <c r="F634" s="2"/>
      <c r="G634" s="105"/>
      <c r="H634" s="15"/>
      <c r="Q634" s="89"/>
    </row>
    <row r="635" spans="1:17" s="5" customFormat="1">
      <c r="A635" s="6"/>
      <c r="B635" s="10"/>
      <c r="C635" s="2"/>
      <c r="D635" s="2"/>
      <c r="E635" s="133"/>
      <c r="F635" s="2"/>
      <c r="G635" s="105"/>
      <c r="H635" s="15"/>
      <c r="Q635" s="89"/>
    </row>
    <row r="636" spans="1:17" s="5" customFormat="1">
      <c r="A636" s="6"/>
      <c r="B636" s="10"/>
      <c r="C636" s="4"/>
      <c r="D636" s="2"/>
      <c r="E636" s="133"/>
      <c r="F636" s="2"/>
      <c r="G636" s="105"/>
      <c r="H636" s="2"/>
      <c r="Q636" s="89"/>
    </row>
    <row r="637" spans="1:17" s="5" customFormat="1">
      <c r="A637" s="6"/>
      <c r="B637" s="10"/>
      <c r="C637" s="2"/>
      <c r="D637" s="2"/>
      <c r="E637" s="133"/>
      <c r="F637" s="2"/>
      <c r="G637" s="105"/>
      <c r="H637" s="2"/>
      <c r="Q637" s="89"/>
    </row>
    <row r="638" spans="1:17" s="5" customFormat="1" ht="81.2" customHeight="1">
      <c r="A638" s="6"/>
      <c r="B638" s="10"/>
      <c r="C638" s="2"/>
      <c r="D638" s="2"/>
      <c r="E638" s="133"/>
      <c r="F638" s="2"/>
      <c r="G638" s="105"/>
      <c r="H638" s="15"/>
      <c r="Q638" s="89"/>
    </row>
    <row r="639" spans="1:17" s="5" customFormat="1">
      <c r="A639" s="6"/>
      <c r="B639" s="10"/>
      <c r="C639" s="2"/>
      <c r="D639" s="2"/>
      <c r="E639" s="133"/>
      <c r="F639" s="2"/>
      <c r="G639" s="105"/>
      <c r="H639" s="15"/>
      <c r="Q639" s="89"/>
    </row>
    <row r="640" spans="1:17" s="5" customFormat="1">
      <c r="A640" s="6"/>
      <c r="B640" s="10"/>
      <c r="C640" s="4"/>
      <c r="D640" s="2"/>
      <c r="E640" s="133"/>
      <c r="F640" s="2"/>
      <c r="G640" s="105"/>
      <c r="H640" s="2"/>
      <c r="Q640" s="89"/>
    </row>
    <row r="641" spans="1:17" s="5" customFormat="1">
      <c r="A641" s="6"/>
      <c r="B641" s="10"/>
      <c r="C641" s="4"/>
      <c r="D641" s="2"/>
      <c r="E641" s="133"/>
      <c r="F641" s="2"/>
      <c r="G641" s="105"/>
      <c r="H641" s="2"/>
      <c r="Q641" s="89"/>
    </row>
    <row r="642" spans="1:17" s="5" customFormat="1">
      <c r="A642" s="6"/>
      <c r="B642" s="10"/>
      <c r="C642" s="2"/>
      <c r="D642" s="2"/>
      <c r="E642" s="133"/>
      <c r="F642" s="2"/>
      <c r="G642" s="105"/>
      <c r="H642" s="15"/>
      <c r="Q642" s="89"/>
    </row>
    <row r="643" spans="1:17" s="5" customFormat="1">
      <c r="A643" s="6"/>
      <c r="B643" s="10"/>
      <c r="C643" s="2"/>
      <c r="D643" s="2"/>
      <c r="E643" s="133"/>
      <c r="F643" s="2"/>
      <c r="G643" s="105"/>
      <c r="H643" s="15"/>
      <c r="Q643" s="89"/>
    </row>
    <row r="644" spans="1:17" s="5" customFormat="1">
      <c r="A644" s="6"/>
      <c r="B644" s="10"/>
      <c r="C644" s="4"/>
      <c r="D644" s="2"/>
      <c r="E644" s="133"/>
      <c r="F644" s="2"/>
      <c r="G644" s="105"/>
      <c r="H644" s="2"/>
      <c r="K644" s="77"/>
      <c r="Q644" s="89"/>
    </row>
    <row r="645" spans="1:17" s="5" customFormat="1">
      <c r="A645" s="6"/>
      <c r="B645" s="10"/>
      <c r="C645" s="4"/>
      <c r="D645" s="2"/>
      <c r="E645" s="133"/>
      <c r="F645" s="2"/>
      <c r="G645" s="105"/>
      <c r="H645" s="2"/>
      <c r="K645" s="77"/>
      <c r="Q645" s="89"/>
    </row>
    <row r="646" spans="1:17" s="5" customFormat="1">
      <c r="A646" s="6"/>
      <c r="B646" s="10"/>
      <c r="C646" s="2"/>
      <c r="D646" s="2"/>
      <c r="E646" s="133"/>
      <c r="F646" s="2"/>
      <c r="G646" s="105"/>
      <c r="H646" s="15"/>
      <c r="J646" s="10"/>
      <c r="Q646" s="89"/>
    </row>
    <row r="647" spans="1:17" s="5" customFormat="1">
      <c r="A647" s="6"/>
      <c r="B647" s="10"/>
      <c r="C647" s="2"/>
      <c r="D647" s="2"/>
      <c r="E647" s="133"/>
      <c r="F647" s="2"/>
      <c r="G647" s="105"/>
      <c r="H647" s="15"/>
      <c r="Q647" s="89"/>
    </row>
    <row r="648" spans="1:17" s="5" customFormat="1">
      <c r="A648" s="6"/>
      <c r="B648" s="10"/>
      <c r="C648" s="4"/>
      <c r="D648" s="2"/>
      <c r="E648" s="133"/>
      <c r="F648" s="2"/>
      <c r="G648" s="105"/>
      <c r="H648" s="2"/>
      <c r="K648" s="77"/>
      <c r="Q648" s="89"/>
    </row>
    <row r="649" spans="1:17" s="5" customFormat="1">
      <c r="A649" s="6"/>
      <c r="B649" s="10"/>
      <c r="C649" s="4"/>
      <c r="D649" s="2"/>
      <c r="E649" s="133"/>
      <c r="F649" s="2"/>
      <c r="G649" s="105"/>
      <c r="H649" s="2"/>
      <c r="K649" s="77"/>
      <c r="Q649" s="89"/>
    </row>
    <row r="650" spans="1:17" s="5" customFormat="1">
      <c r="A650" s="6"/>
      <c r="B650" s="10"/>
      <c r="C650" s="2"/>
      <c r="D650" s="2"/>
      <c r="E650" s="133"/>
      <c r="F650" s="2"/>
      <c r="G650" s="105"/>
      <c r="H650" s="15"/>
      <c r="J650" s="10"/>
      <c r="Q650" s="89"/>
    </row>
    <row r="651" spans="1:17" s="5" customFormat="1">
      <c r="A651" s="6"/>
      <c r="B651" s="10"/>
      <c r="C651" s="2"/>
      <c r="D651" s="2"/>
      <c r="E651" s="133"/>
      <c r="F651" s="2"/>
      <c r="G651" s="105"/>
      <c r="H651" s="15"/>
      <c r="Q651" s="89"/>
    </row>
    <row r="652" spans="1:17" s="5" customFormat="1">
      <c r="A652" s="6"/>
      <c r="B652" s="10"/>
      <c r="C652" s="4"/>
      <c r="D652" s="2"/>
      <c r="E652" s="133"/>
      <c r="F652" s="2"/>
      <c r="G652" s="105"/>
      <c r="H652" s="2"/>
      <c r="K652" s="77"/>
      <c r="Q652" s="89"/>
    </row>
    <row r="653" spans="1:17" s="5" customFormat="1">
      <c r="A653" s="6"/>
      <c r="B653" s="10"/>
      <c r="C653" s="4"/>
      <c r="D653" s="2"/>
      <c r="E653" s="133"/>
      <c r="F653" s="2"/>
      <c r="G653" s="105"/>
      <c r="H653" s="2"/>
      <c r="K653" s="77"/>
      <c r="Q653" s="89"/>
    </row>
    <row r="654" spans="1:17" s="5" customFormat="1" ht="96.75" customHeight="1">
      <c r="A654" s="6"/>
      <c r="B654" s="10"/>
      <c r="C654" s="2"/>
      <c r="D654" s="2"/>
      <c r="E654" s="133"/>
      <c r="F654" s="2"/>
      <c r="G654" s="105"/>
      <c r="H654" s="15"/>
      <c r="Q654" s="89"/>
    </row>
    <row r="655" spans="1:17" s="5" customFormat="1">
      <c r="A655" s="6"/>
      <c r="B655" s="10"/>
      <c r="C655" s="2"/>
      <c r="D655" s="2"/>
      <c r="E655" s="133"/>
      <c r="F655" s="2"/>
      <c r="G655" s="105"/>
      <c r="H655" s="15"/>
      <c r="Q655" s="89"/>
    </row>
    <row r="656" spans="1:17" s="5" customFormat="1">
      <c r="A656" s="6"/>
      <c r="B656" s="10"/>
      <c r="C656" s="4"/>
      <c r="D656" s="2"/>
      <c r="E656" s="133"/>
      <c r="F656" s="2"/>
      <c r="G656" s="105"/>
      <c r="H656" s="2"/>
      <c r="K656" s="77"/>
      <c r="Q656" s="89"/>
    </row>
    <row r="657" spans="1:17" s="5" customFormat="1">
      <c r="A657" s="6"/>
      <c r="B657" s="10"/>
      <c r="C657" s="2"/>
      <c r="D657" s="2"/>
      <c r="E657" s="133"/>
      <c r="F657" s="2"/>
      <c r="G657" s="105"/>
      <c r="H657" s="2"/>
      <c r="K657" s="77"/>
      <c r="Q657" s="89"/>
    </row>
    <row r="658" spans="1:17" s="5" customFormat="1" ht="105" customHeight="1">
      <c r="A658" s="6"/>
      <c r="B658" s="10"/>
      <c r="C658" s="2"/>
      <c r="D658" s="2"/>
      <c r="E658" s="133"/>
      <c r="F658" s="2"/>
      <c r="G658" s="105"/>
      <c r="H658" s="15"/>
      <c r="Q658" s="89"/>
    </row>
    <row r="659" spans="1:17" s="5" customFormat="1">
      <c r="A659" s="6"/>
      <c r="B659" s="10"/>
      <c r="C659" s="2"/>
      <c r="D659" s="2"/>
      <c r="E659" s="133"/>
      <c r="F659" s="2"/>
      <c r="G659" s="105"/>
      <c r="H659" s="15"/>
      <c r="Q659" s="89"/>
    </row>
    <row r="660" spans="1:17" s="5" customFormat="1">
      <c r="A660" s="6"/>
      <c r="B660" s="10"/>
      <c r="C660" s="4"/>
      <c r="D660" s="2"/>
      <c r="E660" s="133"/>
      <c r="F660" s="2"/>
      <c r="G660" s="105"/>
      <c r="H660" s="2"/>
      <c r="K660" s="77"/>
      <c r="Q660" s="89"/>
    </row>
    <row r="661" spans="1:17">
      <c r="B661" s="167"/>
      <c r="H661" s="175"/>
      <c r="I661" s="136"/>
      <c r="J661" s="136"/>
      <c r="M661" s="136"/>
      <c r="N661" s="136"/>
      <c r="O661" s="136"/>
    </row>
    <row r="662" spans="1:17" s="5" customFormat="1">
      <c r="A662" s="6"/>
      <c r="B662" s="10"/>
      <c r="C662" s="2"/>
      <c r="D662" s="2"/>
      <c r="E662" s="133"/>
      <c r="F662" s="2"/>
      <c r="G662" s="105"/>
      <c r="H662" s="15"/>
      <c r="Q662" s="89"/>
    </row>
    <row r="663" spans="1:17" s="5" customFormat="1">
      <c r="A663" s="6"/>
      <c r="B663" s="10"/>
      <c r="C663" s="2"/>
      <c r="D663" s="2"/>
      <c r="E663" s="133"/>
      <c r="F663" s="2"/>
      <c r="G663" s="105"/>
      <c r="H663" s="15"/>
      <c r="Q663" s="89"/>
    </row>
    <row r="664" spans="1:17" s="5" customFormat="1">
      <c r="A664" s="6"/>
      <c r="B664" s="10"/>
      <c r="C664" s="76"/>
      <c r="D664" s="2"/>
      <c r="E664" s="133"/>
      <c r="F664" s="2"/>
      <c r="G664" s="105"/>
      <c r="H664" s="2"/>
      <c r="Q664" s="89"/>
    </row>
    <row r="665" spans="1:17" s="5" customFormat="1">
      <c r="A665" s="6"/>
      <c r="B665" s="10"/>
      <c r="C665" s="76"/>
      <c r="D665" s="2"/>
      <c r="E665" s="133"/>
      <c r="F665" s="2"/>
      <c r="G665" s="105"/>
      <c r="H665" s="2"/>
      <c r="Q665" s="89"/>
    </row>
    <row r="666" spans="1:17" s="5" customFormat="1">
      <c r="A666" s="6"/>
      <c r="B666" s="10"/>
      <c r="C666" s="2"/>
      <c r="D666" s="2"/>
      <c r="E666" s="133"/>
      <c r="F666" s="2"/>
      <c r="G666" s="105"/>
      <c r="H666" s="15"/>
      <c r="Q666" s="89"/>
    </row>
    <row r="667" spans="1:17" s="5" customFormat="1">
      <c r="A667" s="6"/>
      <c r="B667" s="10"/>
      <c r="C667" s="2"/>
      <c r="D667" s="2"/>
      <c r="E667" s="133"/>
      <c r="F667" s="2"/>
      <c r="G667" s="105"/>
      <c r="H667" s="15"/>
      <c r="Q667" s="89"/>
    </row>
    <row r="668" spans="1:17" s="5" customFormat="1">
      <c r="A668" s="6"/>
      <c r="B668" s="10"/>
      <c r="C668" s="76"/>
      <c r="D668" s="2"/>
      <c r="E668" s="133"/>
      <c r="F668" s="2"/>
      <c r="G668" s="105"/>
      <c r="H668" s="2"/>
      <c r="Q668" s="89"/>
    </row>
    <row r="669" spans="1:17" s="5" customFormat="1">
      <c r="A669" s="6"/>
      <c r="B669" s="10"/>
      <c r="C669" s="75"/>
      <c r="D669" s="2"/>
      <c r="E669" s="133"/>
      <c r="F669" s="2"/>
      <c r="G669" s="105"/>
      <c r="H669" s="2"/>
      <c r="Q669" s="89"/>
    </row>
    <row r="670" spans="1:17" s="5" customFormat="1" ht="92.25" customHeight="1">
      <c r="A670" s="6"/>
      <c r="B670" s="10"/>
      <c r="C670" s="2"/>
      <c r="D670" s="2"/>
      <c r="E670" s="133"/>
      <c r="F670" s="2"/>
      <c r="G670" s="105"/>
      <c r="H670" s="15"/>
      <c r="Q670" s="89"/>
    </row>
    <row r="671" spans="1:17" s="5" customFormat="1">
      <c r="A671" s="6"/>
      <c r="B671" s="10"/>
      <c r="C671" s="2"/>
      <c r="D671" s="2"/>
      <c r="E671" s="133"/>
      <c r="F671" s="2"/>
      <c r="G671" s="105"/>
      <c r="H671" s="15"/>
      <c r="Q671" s="89"/>
    </row>
    <row r="672" spans="1:17" s="5" customFormat="1">
      <c r="A672" s="6"/>
      <c r="B672" s="10"/>
      <c r="C672" s="76"/>
      <c r="D672" s="2"/>
      <c r="E672" s="133"/>
      <c r="F672" s="2"/>
      <c r="G672" s="105"/>
      <c r="H672" s="2"/>
      <c r="Q672" s="89"/>
    </row>
    <row r="673" spans="1:17" s="5" customFormat="1">
      <c r="A673" s="6"/>
      <c r="B673" s="10"/>
      <c r="C673" s="76"/>
      <c r="D673" s="2"/>
      <c r="E673" s="133"/>
      <c r="F673" s="2"/>
      <c r="G673" s="105"/>
      <c r="H673" s="2"/>
      <c r="Q673" s="89"/>
    </row>
    <row r="674" spans="1:17" s="5" customFormat="1">
      <c r="A674" s="6"/>
      <c r="B674" s="10"/>
      <c r="C674" s="2"/>
      <c r="D674" s="2"/>
      <c r="E674" s="133"/>
      <c r="F674" s="2"/>
      <c r="G674" s="105"/>
      <c r="H674" s="15"/>
      <c r="Q674" s="89"/>
    </row>
    <row r="675" spans="1:17" s="5" customFormat="1">
      <c r="A675" s="6"/>
      <c r="B675" s="10"/>
      <c r="C675" s="2"/>
      <c r="D675" s="2"/>
      <c r="E675" s="133"/>
      <c r="F675" s="2"/>
      <c r="G675" s="105"/>
      <c r="H675" s="15"/>
      <c r="Q675" s="89"/>
    </row>
    <row r="676" spans="1:17" s="5" customFormat="1">
      <c r="A676" s="6"/>
      <c r="B676" s="10"/>
      <c r="C676" s="76"/>
      <c r="D676" s="2"/>
      <c r="E676" s="133"/>
      <c r="F676" s="2"/>
      <c r="G676" s="105"/>
      <c r="H676" s="2"/>
      <c r="Q676" s="89"/>
    </row>
    <row r="677" spans="1:17" s="5" customFormat="1">
      <c r="A677" s="6"/>
      <c r="B677" s="10"/>
      <c r="C677" s="76"/>
      <c r="D677" s="2"/>
      <c r="E677" s="133"/>
      <c r="F677" s="2"/>
      <c r="G677" s="105"/>
      <c r="H677" s="2"/>
      <c r="Q677" s="89"/>
    </row>
    <row r="678" spans="1:17" s="5" customFormat="1">
      <c r="A678" s="6"/>
      <c r="B678" s="10"/>
      <c r="C678" s="2"/>
      <c r="D678" s="2"/>
      <c r="E678" s="133"/>
      <c r="F678" s="2"/>
      <c r="G678" s="105"/>
      <c r="H678" s="15"/>
      <c r="Q678" s="89"/>
    </row>
    <row r="679" spans="1:17" s="5" customFormat="1">
      <c r="A679" s="6"/>
      <c r="B679" s="10"/>
      <c r="C679" s="2"/>
      <c r="D679" s="2"/>
      <c r="E679" s="133"/>
      <c r="F679" s="2"/>
      <c r="G679" s="105"/>
      <c r="H679" s="15"/>
      <c r="Q679" s="89"/>
    </row>
    <row r="680" spans="1:17" s="5" customFormat="1">
      <c r="A680" s="6"/>
      <c r="B680" s="10"/>
      <c r="C680" s="76"/>
      <c r="D680" s="2"/>
      <c r="E680" s="133"/>
      <c r="F680" s="2"/>
      <c r="G680" s="105"/>
      <c r="H680" s="2"/>
      <c r="Q680" s="94"/>
    </row>
    <row r="681" spans="1:17" s="5" customFormat="1">
      <c r="A681" s="6"/>
      <c r="B681" s="10"/>
      <c r="C681" s="76"/>
      <c r="D681" s="2"/>
      <c r="E681" s="133"/>
      <c r="F681" s="2"/>
      <c r="G681" s="105"/>
      <c r="H681" s="2"/>
      <c r="Q681" s="94"/>
    </row>
    <row r="682" spans="1:17" s="5" customFormat="1">
      <c r="A682" s="6"/>
      <c r="B682" s="10"/>
      <c r="C682" s="2"/>
      <c r="D682" s="2"/>
      <c r="E682" s="133"/>
      <c r="F682" s="2"/>
      <c r="G682" s="105"/>
      <c r="H682" s="15"/>
      <c r="Q682" s="89"/>
    </row>
    <row r="683" spans="1:17" s="5" customFormat="1">
      <c r="A683" s="6"/>
      <c r="B683" s="10"/>
      <c r="C683" s="2"/>
      <c r="D683" s="2"/>
      <c r="E683" s="133"/>
      <c r="F683" s="2"/>
      <c r="G683" s="105"/>
      <c r="H683" s="15"/>
      <c r="Q683" s="89"/>
    </row>
    <row r="684" spans="1:17" s="5" customFormat="1">
      <c r="A684" s="6"/>
      <c r="B684" s="10"/>
      <c r="C684" s="76"/>
      <c r="D684" s="2"/>
      <c r="E684" s="133"/>
      <c r="F684" s="2"/>
      <c r="G684" s="105"/>
      <c r="H684" s="2"/>
      <c r="Q684" s="89"/>
    </row>
    <row r="685" spans="1:17">
      <c r="B685" s="167"/>
      <c r="H685" s="175"/>
      <c r="I685" s="136"/>
      <c r="J685" s="136"/>
      <c r="M685" s="136"/>
      <c r="N685" s="136"/>
      <c r="O685" s="136"/>
    </row>
    <row r="686" spans="1:17">
      <c r="B686" s="167"/>
      <c r="H686" s="175"/>
    </row>
    <row r="687" spans="1:17">
      <c r="B687" s="167"/>
      <c r="H687" s="175"/>
    </row>
    <row r="688" spans="1:17">
      <c r="B688" s="167"/>
      <c r="C688" s="173"/>
      <c r="H688" s="132"/>
      <c r="Q688" s="198"/>
    </row>
    <row r="689" spans="1:17">
      <c r="B689" s="167"/>
      <c r="H689" s="175"/>
      <c r="Q689" s="188"/>
    </row>
    <row r="690" spans="1:17">
      <c r="A690" s="200"/>
      <c r="B690" s="167"/>
      <c r="H690" s="175"/>
      <c r="Q690" s="188"/>
    </row>
    <row r="691" spans="1:17">
      <c r="B691" s="167"/>
      <c r="H691" s="175"/>
      <c r="Q691" s="188"/>
    </row>
    <row r="692" spans="1:17">
      <c r="B692" s="167"/>
      <c r="C692" s="173"/>
      <c r="H692" s="132"/>
      <c r="Q692" s="201"/>
    </row>
    <row r="693" spans="1:17">
      <c r="B693" s="167"/>
      <c r="H693" s="132"/>
      <c r="Q693" s="188"/>
    </row>
    <row r="694" spans="1:17">
      <c r="A694" s="200"/>
      <c r="B694" s="167"/>
      <c r="H694" s="175"/>
      <c r="Q694" s="188"/>
    </row>
    <row r="695" spans="1:17">
      <c r="B695" s="167"/>
      <c r="H695" s="175"/>
      <c r="Q695" s="188"/>
    </row>
    <row r="696" spans="1:17">
      <c r="B696" s="167"/>
      <c r="C696" s="173"/>
      <c r="H696" s="132"/>
      <c r="Q696" s="201"/>
    </row>
    <row r="697" spans="1:17">
      <c r="B697" s="167"/>
      <c r="H697" s="132"/>
      <c r="Q697" s="201"/>
    </row>
    <row r="698" spans="1:17">
      <c r="A698" s="200"/>
      <c r="B698" s="167"/>
      <c r="H698" s="175"/>
      <c r="Q698" s="188"/>
    </row>
    <row r="699" spans="1:17">
      <c r="B699" s="167"/>
      <c r="H699" s="175"/>
      <c r="Q699" s="188"/>
    </row>
    <row r="700" spans="1:17">
      <c r="B700" s="167"/>
      <c r="C700" s="173"/>
      <c r="H700" s="132"/>
      <c r="Q700" s="201"/>
    </row>
    <row r="701" spans="1:17">
      <c r="B701" s="167"/>
      <c r="C701" s="173"/>
      <c r="H701" s="132"/>
      <c r="Q701" s="201"/>
    </row>
    <row r="702" spans="1:17">
      <c r="B702" s="167"/>
      <c r="H702" s="175"/>
    </row>
    <row r="703" spans="1:17">
      <c r="B703" s="167"/>
      <c r="H703" s="149"/>
    </row>
    <row r="704" spans="1:17">
      <c r="B704" s="167"/>
      <c r="C704" s="173"/>
      <c r="H704" s="132"/>
    </row>
    <row r="705" spans="1:17">
      <c r="B705" s="167"/>
      <c r="H705" s="132"/>
    </row>
    <row r="706" spans="1:17">
      <c r="B706" s="167"/>
      <c r="H706" s="175"/>
    </row>
    <row r="707" spans="1:17">
      <c r="B707" s="167"/>
      <c r="H707" s="149"/>
    </row>
    <row r="708" spans="1:17">
      <c r="B708" s="167"/>
      <c r="C708" s="173"/>
      <c r="H708" s="132"/>
    </row>
    <row r="709" spans="1:17">
      <c r="B709" s="167"/>
      <c r="H709" s="175"/>
    </row>
    <row r="710" spans="1:17" s="5" customFormat="1">
      <c r="A710" s="6"/>
      <c r="B710" s="10"/>
      <c r="C710" s="2"/>
      <c r="D710" s="2"/>
      <c r="E710" s="133"/>
      <c r="F710" s="2"/>
      <c r="G710" s="105"/>
      <c r="H710" s="15"/>
      <c r="Q710" s="89"/>
    </row>
    <row r="711" spans="1:17" s="5" customFormat="1">
      <c r="A711" s="6"/>
      <c r="B711" s="10"/>
      <c r="C711" s="2"/>
      <c r="D711" s="2"/>
      <c r="E711" s="133"/>
      <c r="F711" s="2"/>
      <c r="G711" s="105"/>
      <c r="H711" s="15"/>
      <c r="Q711" s="89"/>
    </row>
    <row r="712" spans="1:17" s="5" customFormat="1">
      <c r="A712" s="6"/>
      <c r="B712" s="10"/>
      <c r="C712" s="4"/>
      <c r="D712" s="2"/>
      <c r="E712" s="133"/>
      <c r="F712" s="2"/>
      <c r="G712" s="105"/>
      <c r="H712" s="2"/>
      <c r="Q712" s="89"/>
    </row>
    <row r="713" spans="1:17" s="5" customFormat="1">
      <c r="A713" s="6"/>
      <c r="B713" s="10"/>
      <c r="C713" s="4"/>
      <c r="D713" s="2"/>
      <c r="E713" s="133"/>
      <c r="F713" s="2"/>
      <c r="G713" s="105"/>
      <c r="H713" s="2"/>
      <c r="Q713" s="89"/>
    </row>
    <row r="714" spans="1:17" s="5" customFormat="1">
      <c r="A714" s="6"/>
      <c r="B714" s="10"/>
      <c r="C714" s="2"/>
      <c r="D714" s="2"/>
      <c r="E714" s="133"/>
      <c r="F714" s="2"/>
      <c r="G714" s="105"/>
      <c r="H714" s="15"/>
      <c r="Q714" s="89"/>
    </row>
    <row r="715" spans="1:17" s="5" customFormat="1">
      <c r="A715" s="6"/>
      <c r="B715" s="10"/>
      <c r="C715" s="2"/>
      <c r="D715" s="2"/>
      <c r="E715" s="133"/>
      <c r="F715" s="2"/>
      <c r="G715" s="105"/>
      <c r="H715" s="15"/>
      <c r="Q715" s="89"/>
    </row>
    <row r="716" spans="1:17" s="5" customFormat="1">
      <c r="A716" s="6"/>
      <c r="B716" s="10"/>
      <c r="C716" s="4"/>
      <c r="D716" s="2"/>
      <c r="E716" s="133"/>
      <c r="F716" s="2"/>
      <c r="G716" s="105"/>
      <c r="H716" s="2"/>
      <c r="Q716" s="94"/>
    </row>
    <row r="717" spans="1:17" s="5" customFormat="1">
      <c r="A717" s="6"/>
      <c r="B717" s="10"/>
      <c r="C717" s="2"/>
      <c r="D717" s="2"/>
      <c r="E717" s="115"/>
      <c r="F717" s="2"/>
      <c r="G717" s="105"/>
      <c r="H717" s="15"/>
      <c r="Q717" s="89"/>
    </row>
    <row r="718" spans="1:17" s="178" customFormat="1" ht="12.75">
      <c r="A718" s="141"/>
      <c r="B718" s="167"/>
      <c r="C718" s="132"/>
      <c r="D718" s="132"/>
      <c r="E718" s="133"/>
      <c r="F718" s="132"/>
      <c r="G718" s="134"/>
      <c r="H718" s="175"/>
      <c r="I718" s="176"/>
      <c r="J718" s="177"/>
      <c r="M718" s="179"/>
      <c r="N718" s="179"/>
      <c r="O718" s="179"/>
      <c r="Q718" s="135"/>
    </row>
    <row r="719" spans="1:17">
      <c r="B719" s="167"/>
      <c r="C719" s="169"/>
      <c r="D719" s="169"/>
      <c r="E719" s="172"/>
      <c r="F719" s="169"/>
      <c r="G719" s="170"/>
      <c r="H719" s="178"/>
      <c r="Q719" s="171"/>
    </row>
    <row r="720" spans="1:17">
      <c r="B720" s="167"/>
      <c r="H720" s="132"/>
    </row>
    <row r="721" spans="1:17">
      <c r="B721" s="167"/>
      <c r="H721" s="175"/>
    </row>
    <row r="722" spans="1:17">
      <c r="B722" s="148"/>
      <c r="C722" s="163"/>
      <c r="D722" s="163"/>
      <c r="E722" s="164"/>
      <c r="F722" s="163"/>
      <c r="G722" s="151"/>
      <c r="Q722" s="166"/>
    </row>
    <row r="723" spans="1:17">
      <c r="B723" s="148"/>
      <c r="C723" s="163"/>
      <c r="D723" s="163"/>
      <c r="E723" s="164"/>
      <c r="F723" s="163"/>
      <c r="G723" s="151"/>
      <c r="Q723" s="166"/>
    </row>
    <row r="724" spans="1:17">
      <c r="A724" s="11"/>
      <c r="B724" s="9"/>
      <c r="C724" s="46"/>
      <c r="D724" s="7"/>
      <c r="E724" s="109"/>
      <c r="F724" s="7"/>
      <c r="G724" s="99"/>
      <c r="H724" s="132"/>
      <c r="Q724" s="91"/>
    </row>
    <row r="725" spans="1:17">
      <c r="H725" s="175"/>
    </row>
    <row r="726" spans="1:17">
      <c r="H726" s="175"/>
    </row>
    <row r="727" spans="1:17">
      <c r="H727" s="175"/>
    </row>
    <row r="728" spans="1:17">
      <c r="B728" s="167"/>
      <c r="C728" s="173"/>
      <c r="E728" s="135"/>
      <c r="H728" s="132"/>
    </row>
    <row r="729" spans="1:17">
      <c r="B729" s="167"/>
      <c r="C729" s="173"/>
      <c r="H729" s="132"/>
    </row>
    <row r="730" spans="1:17" s="5" customFormat="1">
      <c r="A730" s="6"/>
      <c r="B730" s="3"/>
      <c r="C730" s="2"/>
      <c r="D730" s="2"/>
      <c r="E730" s="133"/>
      <c r="F730" s="2"/>
      <c r="G730" s="105"/>
      <c r="H730" s="15"/>
      <c r="I730" s="25"/>
      <c r="J730" s="21"/>
      <c r="M730" s="29"/>
      <c r="N730" s="29"/>
      <c r="O730" s="29"/>
      <c r="Q730" s="89"/>
    </row>
    <row r="731" spans="1:17" s="5" customFormat="1">
      <c r="A731" s="6"/>
      <c r="B731" s="3"/>
      <c r="C731" s="2"/>
      <c r="D731" s="2"/>
      <c r="E731" s="133"/>
      <c r="F731" s="2"/>
      <c r="G731" s="105"/>
      <c r="H731" s="15"/>
      <c r="I731" s="25"/>
      <c r="J731" s="21"/>
      <c r="M731" s="29"/>
      <c r="N731" s="29"/>
      <c r="O731" s="29"/>
      <c r="Q731" s="89"/>
    </row>
    <row r="732" spans="1:17" s="5" customFormat="1">
      <c r="A732" s="6"/>
      <c r="B732" s="10"/>
      <c r="C732" s="74"/>
      <c r="D732" s="2"/>
      <c r="E732" s="133"/>
      <c r="F732" s="2"/>
      <c r="G732" s="105"/>
      <c r="H732" s="2"/>
      <c r="I732" s="25"/>
      <c r="J732" s="21"/>
      <c r="M732" s="29"/>
      <c r="N732" s="29"/>
      <c r="O732" s="29"/>
      <c r="Q732" s="89"/>
    </row>
    <row r="733" spans="1:17">
      <c r="H733" s="175"/>
    </row>
    <row r="734" spans="1:17">
      <c r="H734" s="175"/>
    </row>
    <row r="735" spans="1:17">
      <c r="H735" s="175"/>
    </row>
    <row r="736" spans="1:17">
      <c r="B736" s="167"/>
      <c r="C736" s="173"/>
      <c r="H736" s="132"/>
    </row>
    <row r="737" spans="1:17">
      <c r="H737" s="175"/>
    </row>
    <row r="738" spans="1:17">
      <c r="H738" s="175"/>
    </row>
    <row r="739" spans="1:17">
      <c r="H739" s="175"/>
    </row>
    <row r="740" spans="1:17">
      <c r="B740" s="167"/>
      <c r="C740" s="173"/>
      <c r="H740" s="132"/>
    </row>
    <row r="741" spans="1:17">
      <c r="H741" s="175"/>
    </row>
    <row r="742" spans="1:17">
      <c r="A742" s="147"/>
      <c r="B742" s="9"/>
      <c r="C742" s="163"/>
      <c r="D742" s="163"/>
      <c r="E742" s="164"/>
      <c r="F742" s="163"/>
      <c r="G742" s="151"/>
      <c r="Q742" s="166"/>
    </row>
    <row r="743" spans="1:17">
      <c r="H743" s="175"/>
    </row>
    <row r="744" spans="1:17">
      <c r="H744" s="175"/>
    </row>
  </sheetData>
  <sheetProtection selectLockedCells="1"/>
  <mergeCells count="4">
    <mergeCell ref="D22:G25"/>
    <mergeCell ref="D21:G21"/>
    <mergeCell ref="D27:G27"/>
    <mergeCell ref="D28:G31"/>
  </mergeCells>
  <conditionalFormatting sqref="C39:G70">
    <cfRule type="cellIs" dxfId="19" priority="4" stopIfTrue="1" operator="greaterThan">
      <formula>0</formula>
    </cfRule>
  </conditionalFormatting>
  <conditionalFormatting sqref="C73:G109">
    <cfRule type="cellIs" dxfId="18" priority="3" stopIfTrue="1" operator="greaterThan">
      <formula>0</formula>
    </cfRule>
  </conditionalFormatting>
  <conditionalFormatting sqref="C113:G149">
    <cfRule type="cellIs" dxfId="17" priority="1" stopIfTrue="1" operator="greaterThan">
      <formula>0</formula>
    </cfRule>
  </conditionalFormatting>
  <conditionalFormatting sqref="G153 G155 C159:G161">
    <cfRule type="cellIs" dxfId="16" priority="14" stopIfTrue="1" operator="greaterThan">
      <formula>0</formula>
    </cfRule>
  </conditionalFormatting>
  <pageMargins left="1.1023622047244095" right="0.35433070866141736" top="0.59055118110236227" bottom="0.59055118110236227" header="0.39370078740157483" footer="0.39370078740157483"/>
  <pageSetup paperSize="9" orientation="portrait" useFirstPageNumber="1" r:id="rId1"/>
  <headerFooter alignWithMargins="0">
    <oddHeader>&amp;R&amp;"Arial,Navadno"&amp;9TLAČNI VOD TVS</oddHeader>
    <oddFooter>&amp;C&amp;"Arial,Navadno"&amp;10&amp;P</oddFooter>
  </headerFooter>
  <rowBreaks count="5" manualBreakCount="5">
    <brk id="34" max="6" man="1"/>
    <brk id="69" max="6" man="1"/>
    <brk id="105" max="6" man="1"/>
    <brk id="125" max="6" man="1"/>
    <brk id="145"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229"/>
  <sheetViews>
    <sheetView view="pageBreakPreview" topLeftCell="A20" zoomScale="60" zoomScaleNormal="100" workbookViewId="0">
      <selection activeCell="E42" sqref="E42:E225"/>
    </sheetView>
  </sheetViews>
  <sheetFormatPr defaultColWidth="8.6640625" defaultRowHeight="15.75"/>
  <cols>
    <col min="1" max="1" width="6.5546875" style="43" customWidth="1"/>
    <col min="2" max="2" width="27.44140625" style="53" customWidth="1"/>
    <col min="3" max="3" width="7.44140625" style="41" customWidth="1"/>
    <col min="4" max="4" width="1.109375" style="41" customWidth="1"/>
    <col min="5" max="5" width="11.109375" style="107" customWidth="1"/>
    <col min="6" max="6" width="3.44140625" style="41" customWidth="1"/>
    <col min="7" max="7" width="14" style="97" customWidth="1"/>
    <col min="8" max="8" width="3.6640625" style="38" customWidth="1"/>
    <col min="9" max="9" width="14.88671875" style="36" customWidth="1"/>
    <col min="10" max="10" width="8.6640625" style="37" customWidth="1"/>
    <col min="11" max="11" width="25.5546875" style="38" customWidth="1"/>
    <col min="12" max="12" width="15.5546875" style="38" customWidth="1"/>
    <col min="13" max="15" width="8.6640625" style="39" customWidth="1"/>
    <col min="16" max="16" width="8.6640625" style="38" customWidth="1"/>
    <col min="17" max="17" width="11.109375" style="82" customWidth="1"/>
    <col min="18" max="16384" width="8.6640625" style="38"/>
  </cols>
  <sheetData>
    <row r="1" spans="1:17" s="79" customFormat="1" ht="15.95" customHeight="1">
      <c r="A1" s="34"/>
      <c r="B1" s="35" t="s">
        <v>11</v>
      </c>
      <c r="C1" s="1" t="s">
        <v>123</v>
      </c>
      <c r="D1" s="33"/>
      <c r="E1" s="33"/>
      <c r="F1" s="2"/>
      <c r="G1" s="96"/>
      <c r="H1" s="78"/>
      <c r="Q1" s="90"/>
    </row>
    <row r="2" spans="1:17" s="79" customFormat="1" ht="15.95" customHeight="1">
      <c r="A2" s="34"/>
      <c r="B2" s="35"/>
      <c r="C2" s="1" t="s">
        <v>124</v>
      </c>
      <c r="D2" s="33"/>
      <c r="E2" s="33"/>
      <c r="F2" s="2"/>
      <c r="G2" s="96"/>
      <c r="H2" s="78"/>
      <c r="Q2" s="90"/>
    </row>
    <row r="3" spans="1:17" s="79" customFormat="1" ht="15.95" customHeight="1">
      <c r="A3" s="34"/>
      <c r="B3" s="35" t="s">
        <v>8</v>
      </c>
      <c r="C3" s="40" t="s">
        <v>206</v>
      </c>
      <c r="D3" s="33"/>
      <c r="E3" s="106"/>
      <c r="F3" s="2"/>
      <c r="G3" s="96"/>
      <c r="H3" s="78"/>
      <c r="Q3" s="90"/>
    </row>
    <row r="4" spans="1:17" s="79" customFormat="1">
      <c r="A4" s="34"/>
      <c r="B4" s="35" t="s">
        <v>12</v>
      </c>
      <c r="C4" s="40" t="s">
        <v>207</v>
      </c>
      <c r="D4" s="41"/>
      <c r="E4" s="107"/>
      <c r="F4" s="41"/>
      <c r="G4" s="97"/>
      <c r="Q4" s="82"/>
    </row>
    <row r="5" spans="1:17" s="79" customFormat="1">
      <c r="A5" s="34"/>
      <c r="B5" s="35" t="s">
        <v>13</v>
      </c>
      <c r="C5" s="1" t="s">
        <v>172</v>
      </c>
      <c r="D5" s="33"/>
      <c r="E5" s="106"/>
      <c r="F5" s="2"/>
      <c r="G5" s="97"/>
      <c r="Q5" s="90"/>
    </row>
    <row r="6" spans="1:17">
      <c r="A6" s="34"/>
      <c r="B6" s="35"/>
      <c r="C6" s="42" t="s">
        <v>173</v>
      </c>
    </row>
    <row r="7" spans="1:17">
      <c r="A7" s="34"/>
      <c r="B7" s="35"/>
      <c r="C7" s="42"/>
    </row>
    <row r="9" spans="1:17" ht="18">
      <c r="A9" s="43" t="s">
        <v>14</v>
      </c>
      <c r="B9" s="44" t="s">
        <v>52</v>
      </c>
      <c r="C9" s="45"/>
      <c r="D9" s="45"/>
      <c r="E9" s="108"/>
      <c r="F9" s="45"/>
      <c r="G9" s="98"/>
      <c r="Q9" s="83"/>
    </row>
    <row r="10" spans="1:17">
      <c r="B10" s="45"/>
      <c r="C10" s="45"/>
      <c r="D10" s="45"/>
      <c r="E10" s="108"/>
      <c r="F10" s="45"/>
      <c r="G10" s="98"/>
      <c r="Q10" s="83"/>
    </row>
    <row r="12" spans="1:17" s="7" customFormat="1">
      <c r="A12" s="8" t="s">
        <v>15</v>
      </c>
      <c r="B12" s="9" t="s">
        <v>16</v>
      </c>
      <c r="C12" s="46"/>
      <c r="E12" s="109"/>
      <c r="G12" s="99"/>
      <c r="I12" s="26"/>
      <c r="J12" s="22"/>
      <c r="M12" s="30"/>
      <c r="N12" s="30"/>
      <c r="O12" s="30"/>
      <c r="Q12" s="91"/>
    </row>
    <row r="13" spans="1:17" s="7" customFormat="1">
      <c r="A13" s="8"/>
      <c r="B13" s="9"/>
      <c r="C13" s="46"/>
      <c r="E13" s="109"/>
      <c r="G13" s="99"/>
      <c r="I13" s="26"/>
      <c r="J13" s="22"/>
      <c r="M13" s="30"/>
      <c r="N13" s="30"/>
      <c r="O13" s="30"/>
      <c r="Q13" s="91"/>
    </row>
    <row r="14" spans="1:17" s="7" customFormat="1">
      <c r="A14" s="47" t="s">
        <v>27</v>
      </c>
      <c r="B14" s="48" t="s">
        <v>26</v>
      </c>
      <c r="C14" s="49"/>
      <c r="D14" s="49"/>
      <c r="E14" s="110"/>
      <c r="F14" s="49"/>
      <c r="G14" s="209"/>
      <c r="H14" s="80"/>
      <c r="I14" s="26"/>
      <c r="J14" s="22"/>
      <c r="K14" s="119"/>
      <c r="M14" s="30"/>
      <c r="N14" s="30"/>
      <c r="O14" s="30"/>
      <c r="Q14" s="84"/>
    </row>
    <row r="15" spans="1:17">
      <c r="A15" s="47" t="s">
        <v>32</v>
      </c>
      <c r="B15" s="48" t="s">
        <v>17</v>
      </c>
      <c r="C15" s="49"/>
      <c r="D15" s="49"/>
      <c r="E15" s="110"/>
      <c r="F15" s="49"/>
      <c r="G15" s="209"/>
      <c r="H15" s="80"/>
      <c r="K15" s="116"/>
      <c r="Q15" s="84"/>
    </row>
    <row r="16" spans="1:17">
      <c r="A16" s="47" t="s">
        <v>42</v>
      </c>
      <c r="B16" s="48" t="s">
        <v>18</v>
      </c>
      <c r="C16" s="49"/>
      <c r="D16" s="49"/>
      <c r="E16" s="110"/>
      <c r="F16" s="49"/>
      <c r="G16" s="209"/>
      <c r="H16" s="80"/>
      <c r="K16" s="116"/>
      <c r="Q16" s="84"/>
    </row>
    <row r="17" spans="1:17" s="79" customFormat="1" ht="31.5">
      <c r="A17" s="47" t="s">
        <v>0</v>
      </c>
      <c r="B17" s="48" t="s">
        <v>40</v>
      </c>
      <c r="C17" s="49"/>
      <c r="D17" s="49"/>
      <c r="E17" s="110"/>
      <c r="F17" s="49"/>
      <c r="G17" s="209"/>
      <c r="H17" s="80"/>
      <c r="Q17" s="84"/>
    </row>
    <row r="18" spans="1:17">
      <c r="A18" s="47"/>
      <c r="B18" s="48"/>
      <c r="C18" s="49"/>
      <c r="D18" s="49"/>
      <c r="E18" s="110"/>
      <c r="F18" s="49"/>
      <c r="G18" s="100"/>
      <c r="K18" s="116"/>
      <c r="Q18" s="84"/>
    </row>
    <row r="19" spans="1:17" ht="16.5" thickBot="1">
      <c r="A19" s="47"/>
      <c r="B19" s="50" t="s">
        <v>53</v>
      </c>
      <c r="C19" s="51"/>
      <c r="D19" s="51"/>
      <c r="E19" s="111"/>
      <c r="F19" s="51"/>
      <c r="G19" s="210"/>
      <c r="H19" s="80"/>
      <c r="K19" s="117"/>
      <c r="Q19" s="85"/>
    </row>
    <row r="23" spans="1:17" ht="15.95" customHeight="1">
      <c r="B23" s="53" t="s">
        <v>81</v>
      </c>
      <c r="E23" s="458" t="s">
        <v>143</v>
      </c>
      <c r="F23" s="458"/>
      <c r="G23" s="458"/>
    </row>
    <row r="24" spans="1:17" ht="84.75" customHeight="1">
      <c r="B24" s="53" t="s">
        <v>84</v>
      </c>
      <c r="E24" s="458" t="s">
        <v>241</v>
      </c>
      <c r="F24" s="458"/>
      <c r="G24" s="458"/>
    </row>
    <row r="26" spans="1:17">
      <c r="B26" s="53" t="s">
        <v>82</v>
      </c>
    </row>
    <row r="27" spans="1:17" ht="63.75">
      <c r="B27" s="53" t="s">
        <v>83</v>
      </c>
    </row>
    <row r="29" spans="1:17">
      <c r="K29" s="53"/>
    </row>
    <row r="30" spans="1:17">
      <c r="K30" s="53"/>
    </row>
    <row r="34" spans="1:17">
      <c r="B34" s="53" t="s">
        <v>166</v>
      </c>
    </row>
    <row r="35" spans="1:17" s="7" customFormat="1">
      <c r="A35" s="43"/>
      <c r="B35" s="53"/>
      <c r="C35" s="41"/>
      <c r="D35" s="41"/>
      <c r="E35" s="107"/>
      <c r="F35" s="41"/>
      <c r="G35" s="97"/>
      <c r="H35" s="38"/>
      <c r="I35" s="26"/>
      <c r="J35" s="22"/>
      <c r="M35" s="30"/>
      <c r="N35" s="30"/>
      <c r="O35" s="30"/>
      <c r="Q35" s="82"/>
    </row>
    <row r="36" spans="1:17">
      <c r="A36" s="11" t="s">
        <v>19</v>
      </c>
      <c r="B36" s="9" t="s">
        <v>16</v>
      </c>
      <c r="C36" s="46"/>
      <c r="D36" s="7"/>
      <c r="E36" s="109"/>
      <c r="F36" s="7"/>
      <c r="G36" s="99"/>
      <c r="H36" s="7"/>
      <c r="Q36" s="91"/>
    </row>
    <row r="37" spans="1:17" s="7" customFormat="1">
      <c r="A37" s="43"/>
      <c r="B37" s="55"/>
      <c r="C37" s="56"/>
      <c r="D37" s="56"/>
      <c r="E37" s="112"/>
      <c r="F37" s="56"/>
      <c r="G37" s="101"/>
      <c r="H37" s="38"/>
      <c r="I37" s="26"/>
      <c r="J37" s="22"/>
      <c r="M37" s="30"/>
      <c r="N37" s="30"/>
      <c r="O37" s="30"/>
      <c r="Q37" s="86"/>
    </row>
    <row r="38" spans="1:17" s="7" customFormat="1">
      <c r="A38" s="11" t="s">
        <v>27</v>
      </c>
      <c r="B38" s="9" t="s">
        <v>26</v>
      </c>
      <c r="C38" s="46"/>
      <c r="E38" s="109"/>
      <c r="G38" s="99"/>
      <c r="I38" s="26"/>
      <c r="J38" s="22"/>
      <c r="M38" s="30"/>
      <c r="N38" s="30"/>
      <c r="O38" s="30"/>
      <c r="Q38" s="91"/>
    </row>
    <row r="39" spans="1:17" s="7" customFormat="1">
      <c r="A39" s="8"/>
      <c r="B39" s="9"/>
      <c r="C39" s="207" t="s">
        <v>170</v>
      </c>
      <c r="D39" s="203"/>
      <c r="E39" s="208" t="s">
        <v>171</v>
      </c>
      <c r="F39" s="203"/>
      <c r="G39" s="208" t="s">
        <v>164</v>
      </c>
      <c r="I39" s="26"/>
      <c r="J39" s="22"/>
      <c r="M39" s="30"/>
      <c r="N39" s="30"/>
      <c r="O39" s="30"/>
      <c r="Q39" s="91"/>
    </row>
    <row r="40" spans="1:17" s="17" customFormat="1" ht="39">
      <c r="A40" s="12" t="s">
        <v>28</v>
      </c>
      <c r="B40" s="13" t="s">
        <v>139</v>
      </c>
      <c r="C40" s="46"/>
      <c r="D40" s="7"/>
      <c r="E40" s="109"/>
      <c r="F40" s="7"/>
      <c r="G40" s="99"/>
      <c r="H40" s="7"/>
      <c r="I40" s="27"/>
      <c r="J40" s="23"/>
      <c r="M40" s="31"/>
      <c r="N40" s="31"/>
      <c r="O40" s="31"/>
      <c r="Q40" s="91"/>
    </row>
    <row r="41" spans="1:17" s="7" customFormat="1">
      <c r="A41" s="18"/>
      <c r="B41" s="13"/>
      <c r="C41" s="57"/>
      <c r="D41" s="17"/>
      <c r="E41" s="113"/>
      <c r="F41" s="17"/>
      <c r="G41" s="102"/>
      <c r="H41" s="17"/>
      <c r="I41" s="26"/>
      <c r="J41" s="22"/>
      <c r="M41" s="30"/>
      <c r="N41" s="30"/>
      <c r="O41" s="30"/>
      <c r="Q41" s="92"/>
    </row>
    <row r="42" spans="1:17" s="7" customFormat="1">
      <c r="A42" s="8"/>
      <c r="B42" s="52" t="s">
        <v>22</v>
      </c>
      <c r="C42" s="214">
        <v>286</v>
      </c>
      <c r="D42" s="41"/>
      <c r="E42" s="230"/>
      <c r="F42" s="81"/>
      <c r="G42" s="213"/>
      <c r="H42" s="81"/>
      <c r="I42" s="26"/>
      <c r="J42" s="22"/>
      <c r="M42" s="30"/>
      <c r="N42" s="30"/>
      <c r="O42" s="30"/>
      <c r="Q42" s="82"/>
    </row>
    <row r="43" spans="1:17" s="7" customFormat="1">
      <c r="A43" s="8"/>
      <c r="B43" s="14"/>
      <c r="C43" s="46"/>
      <c r="E43" s="231"/>
      <c r="G43" s="99"/>
      <c r="I43" s="26"/>
      <c r="J43" s="22"/>
      <c r="M43" s="30"/>
      <c r="N43" s="30"/>
      <c r="O43" s="30"/>
      <c r="Q43" s="91"/>
    </row>
    <row r="44" spans="1:17" s="19" customFormat="1" ht="76.5">
      <c r="A44" s="12" t="s">
        <v>30</v>
      </c>
      <c r="B44" s="127" t="s">
        <v>140</v>
      </c>
      <c r="C44" s="46"/>
      <c r="D44" s="7"/>
      <c r="E44" s="231"/>
      <c r="F44" s="7"/>
      <c r="G44" s="99"/>
      <c r="H44" s="7"/>
      <c r="I44" s="28"/>
      <c r="J44" s="24"/>
      <c r="K44" s="52"/>
      <c r="M44" s="32"/>
      <c r="N44" s="32"/>
      <c r="O44" s="32"/>
      <c r="Q44" s="91"/>
    </row>
    <row r="45" spans="1:17" s="7" customFormat="1">
      <c r="A45" s="20"/>
      <c r="B45" s="52"/>
      <c r="C45" s="58"/>
      <c r="D45" s="19"/>
      <c r="E45" s="231"/>
      <c r="F45" s="19"/>
      <c r="G45" s="103"/>
      <c r="H45" s="19"/>
      <c r="I45" s="26"/>
      <c r="J45" s="22"/>
      <c r="M45" s="30"/>
      <c r="N45" s="30"/>
      <c r="O45" s="30"/>
      <c r="Q45" s="93"/>
    </row>
    <row r="46" spans="1:17" s="7" customFormat="1">
      <c r="A46" s="8"/>
      <c r="B46" s="52" t="s">
        <v>55</v>
      </c>
      <c r="C46" s="214">
        <v>1</v>
      </c>
      <c r="D46" s="41"/>
      <c r="E46" s="232"/>
      <c r="F46" s="81"/>
      <c r="G46" s="213"/>
      <c r="H46" s="81"/>
      <c r="I46" s="26"/>
      <c r="J46" s="22"/>
      <c r="M46" s="30"/>
      <c r="N46" s="30"/>
      <c r="O46" s="30"/>
      <c r="Q46" s="82"/>
    </row>
    <row r="47" spans="1:17" s="7" customFormat="1">
      <c r="A47" s="8"/>
      <c r="B47" s="52"/>
      <c r="C47" s="41"/>
      <c r="D47" s="41"/>
      <c r="E47" s="231"/>
      <c r="F47" s="41"/>
      <c r="G47" s="97"/>
      <c r="H47" s="41"/>
      <c r="I47" s="26"/>
      <c r="J47" s="22"/>
      <c r="M47" s="30"/>
      <c r="N47" s="30"/>
      <c r="O47" s="30"/>
      <c r="Q47" s="82"/>
    </row>
    <row r="48" spans="1:17" s="19" customFormat="1" ht="57" customHeight="1">
      <c r="A48" s="12" t="s">
        <v>31</v>
      </c>
      <c r="B48" s="52" t="s">
        <v>66</v>
      </c>
      <c r="C48" s="46"/>
      <c r="D48" s="7"/>
      <c r="E48" s="237"/>
      <c r="F48" s="7"/>
      <c r="G48" s="99"/>
      <c r="H48" s="7"/>
      <c r="I48" s="28"/>
      <c r="J48" s="24"/>
      <c r="M48" s="32"/>
      <c r="N48" s="32"/>
      <c r="O48" s="32"/>
      <c r="Q48" s="91"/>
    </row>
    <row r="49" spans="1:17" s="7" customFormat="1">
      <c r="A49" s="20"/>
      <c r="B49" s="52"/>
      <c r="C49" s="58"/>
      <c r="D49" s="19"/>
      <c r="E49" s="250"/>
      <c r="F49" s="19"/>
      <c r="G49" s="103"/>
      <c r="H49" s="19"/>
      <c r="I49" s="26"/>
      <c r="J49" s="22"/>
      <c r="M49" s="30"/>
      <c r="N49" s="30"/>
      <c r="O49" s="30"/>
      <c r="Q49" s="93"/>
    </row>
    <row r="50" spans="1:17" s="7" customFormat="1">
      <c r="A50" s="8"/>
      <c r="B50" s="52" t="s">
        <v>23</v>
      </c>
      <c r="C50" s="214">
        <v>4</v>
      </c>
      <c r="D50" s="41"/>
      <c r="E50" s="232"/>
      <c r="F50" s="81"/>
      <c r="G50" s="213"/>
      <c r="H50" s="81"/>
      <c r="I50" s="26"/>
      <c r="J50" s="22"/>
      <c r="M50" s="30"/>
      <c r="N50" s="30"/>
      <c r="O50" s="30"/>
      <c r="Q50" s="82"/>
    </row>
    <row r="51" spans="1:17" s="7" customFormat="1">
      <c r="A51" s="8"/>
      <c r="B51" s="52"/>
      <c r="C51" s="41"/>
      <c r="D51" s="41"/>
      <c r="E51" s="231"/>
      <c r="F51" s="41"/>
      <c r="G51" s="97"/>
      <c r="H51" s="41"/>
      <c r="I51" s="26"/>
      <c r="J51" s="22"/>
      <c r="M51" s="30"/>
      <c r="N51" s="30"/>
      <c r="O51" s="30"/>
      <c r="Q51" s="82"/>
    </row>
    <row r="52" spans="1:17" s="19" customFormat="1" ht="57.75" customHeight="1">
      <c r="A52" s="12" t="s">
        <v>56</v>
      </c>
      <c r="B52" s="52" t="s">
        <v>68</v>
      </c>
      <c r="C52" s="41"/>
      <c r="D52" s="41"/>
      <c r="E52" s="231"/>
      <c r="F52" s="41"/>
      <c r="G52" s="97"/>
      <c r="H52" s="7"/>
      <c r="I52" s="28"/>
      <c r="J52" s="24"/>
      <c r="M52" s="32"/>
      <c r="N52" s="32"/>
      <c r="O52" s="32"/>
      <c r="Q52" s="82"/>
    </row>
    <row r="53" spans="1:17" s="7" customFormat="1">
      <c r="A53" s="20"/>
      <c r="B53" s="52"/>
      <c r="C53" s="59"/>
      <c r="D53" s="59"/>
      <c r="E53" s="231"/>
      <c r="F53" s="59"/>
      <c r="G53" s="104"/>
      <c r="H53" s="19"/>
      <c r="I53" s="26"/>
      <c r="J53" s="22"/>
      <c r="M53" s="30"/>
      <c r="N53" s="30"/>
      <c r="O53" s="30"/>
      <c r="Q53" s="87"/>
    </row>
    <row r="54" spans="1:17" s="7" customFormat="1">
      <c r="A54" s="8"/>
      <c r="B54" s="52" t="s">
        <v>23</v>
      </c>
      <c r="C54" s="214">
        <f>INT(C42/20)+1</f>
        <v>15</v>
      </c>
      <c r="D54" s="41"/>
      <c r="E54" s="232"/>
      <c r="F54" s="81"/>
      <c r="G54" s="213"/>
      <c r="H54" s="81"/>
      <c r="I54" s="26"/>
      <c r="J54" s="22"/>
      <c r="M54" s="30"/>
      <c r="N54" s="30"/>
      <c r="O54" s="30"/>
      <c r="Q54" s="82"/>
    </row>
    <row r="55" spans="1:17" s="7" customFormat="1">
      <c r="A55" s="8"/>
      <c r="B55" s="52"/>
      <c r="C55" s="41"/>
      <c r="D55" s="41"/>
      <c r="E55" s="231"/>
      <c r="F55" s="41"/>
      <c r="G55" s="97"/>
      <c r="H55" s="41"/>
      <c r="I55" s="26"/>
      <c r="J55" s="22"/>
      <c r="M55" s="30"/>
      <c r="N55" s="30"/>
      <c r="O55" s="30"/>
      <c r="Q55" s="82"/>
    </row>
    <row r="56" spans="1:17" s="7" customFormat="1" ht="38.25">
      <c r="A56" s="12" t="s">
        <v>5</v>
      </c>
      <c r="B56" s="52" t="s">
        <v>6</v>
      </c>
      <c r="C56" s="41"/>
      <c r="D56" s="41"/>
      <c r="E56" s="231"/>
      <c r="F56" s="41"/>
      <c r="G56" s="97"/>
      <c r="I56" s="26"/>
      <c r="J56" s="22"/>
      <c r="M56" s="30"/>
      <c r="N56" s="30"/>
      <c r="O56" s="30"/>
      <c r="Q56" s="82"/>
    </row>
    <row r="57" spans="1:17" s="7" customFormat="1">
      <c r="A57" s="20"/>
      <c r="B57" s="52"/>
      <c r="C57" s="59"/>
      <c r="D57" s="59"/>
      <c r="E57" s="233"/>
      <c r="F57" s="59"/>
      <c r="G57" s="104"/>
      <c r="H57" s="19"/>
      <c r="I57" s="26"/>
      <c r="J57" s="22"/>
      <c r="M57" s="30"/>
      <c r="N57" s="30"/>
      <c r="O57" s="30"/>
      <c r="Q57" s="87"/>
    </row>
    <row r="58" spans="1:17" s="7" customFormat="1">
      <c r="A58" s="8"/>
      <c r="B58" s="52" t="s">
        <v>29</v>
      </c>
      <c r="C58" s="214">
        <v>1</v>
      </c>
      <c r="D58" s="41"/>
      <c r="E58" s="232"/>
      <c r="F58" s="81"/>
      <c r="G58" s="213"/>
      <c r="H58" s="81"/>
      <c r="I58" s="26"/>
      <c r="J58" s="22"/>
      <c r="M58" s="30"/>
      <c r="N58" s="30"/>
      <c r="O58" s="30"/>
      <c r="Q58" s="82"/>
    </row>
    <row r="59" spans="1:17" s="7" customFormat="1">
      <c r="A59" s="8"/>
      <c r="B59" s="52"/>
      <c r="C59" s="41"/>
      <c r="D59" s="41"/>
      <c r="E59" s="231"/>
      <c r="F59" s="41"/>
      <c r="G59" s="97"/>
      <c r="H59" s="41"/>
      <c r="I59" s="26"/>
      <c r="J59" s="22"/>
      <c r="M59" s="30"/>
      <c r="N59" s="30"/>
      <c r="O59" s="30"/>
      <c r="Q59" s="82"/>
    </row>
    <row r="60" spans="1:17" s="19" customFormat="1" ht="48" customHeight="1">
      <c r="A60" s="12" t="s">
        <v>75</v>
      </c>
      <c r="B60" s="52" t="s">
        <v>136</v>
      </c>
      <c r="C60" s="41"/>
      <c r="D60" s="41"/>
      <c r="E60" s="231"/>
      <c r="F60" s="41"/>
      <c r="G60" s="97"/>
      <c r="H60" s="7"/>
      <c r="I60" s="28"/>
      <c r="J60" s="24"/>
      <c r="M60" s="32"/>
      <c r="N60" s="32"/>
      <c r="O60" s="32"/>
      <c r="Q60" s="82"/>
    </row>
    <row r="61" spans="1:17" s="7" customFormat="1">
      <c r="A61" s="20"/>
      <c r="B61" s="52"/>
      <c r="C61" s="59"/>
      <c r="D61" s="59"/>
      <c r="E61" s="233"/>
      <c r="F61" s="59"/>
      <c r="G61" s="104"/>
      <c r="H61" s="19"/>
      <c r="I61" s="26"/>
      <c r="J61" s="22"/>
      <c r="M61" s="30"/>
      <c r="N61" s="30"/>
      <c r="O61" s="30"/>
      <c r="Q61" s="87"/>
    </row>
    <row r="62" spans="1:17" s="7" customFormat="1">
      <c r="A62" s="8"/>
      <c r="B62" s="52" t="s">
        <v>23</v>
      </c>
      <c r="C62" s="214">
        <v>1</v>
      </c>
      <c r="D62" s="41"/>
      <c r="E62" s="232"/>
      <c r="F62" s="81"/>
      <c r="G62" s="213"/>
      <c r="H62" s="81"/>
      <c r="I62" s="26"/>
      <c r="J62" s="22"/>
      <c r="M62" s="30"/>
      <c r="N62" s="30"/>
      <c r="O62" s="30"/>
      <c r="Q62" s="82"/>
    </row>
    <row r="63" spans="1:17" s="7" customFormat="1">
      <c r="A63" s="8"/>
      <c r="B63" s="52"/>
      <c r="C63" s="41"/>
      <c r="D63" s="41"/>
      <c r="E63" s="231"/>
      <c r="F63" s="81"/>
      <c r="G63" s="97"/>
      <c r="H63" s="81"/>
      <c r="I63" s="26"/>
      <c r="J63" s="22"/>
      <c r="M63" s="30"/>
      <c r="N63" s="30"/>
      <c r="O63" s="30"/>
      <c r="Q63" s="82"/>
    </row>
    <row r="64" spans="1:17" s="19" customFormat="1" ht="34.5" customHeight="1">
      <c r="A64" s="12" t="s">
        <v>137</v>
      </c>
      <c r="B64" s="52" t="s">
        <v>138</v>
      </c>
      <c r="C64" s="41"/>
      <c r="D64" s="41"/>
      <c r="E64" s="231"/>
      <c r="F64" s="41"/>
      <c r="G64" s="97"/>
      <c r="H64" s="7"/>
      <c r="I64" s="28"/>
      <c r="J64" s="24"/>
      <c r="M64" s="32"/>
      <c r="N64" s="32"/>
      <c r="O64" s="32"/>
      <c r="Q64" s="82"/>
    </row>
    <row r="65" spans="1:17" s="7" customFormat="1">
      <c r="A65" s="20"/>
      <c r="B65" s="52"/>
      <c r="C65" s="59"/>
      <c r="D65" s="59"/>
      <c r="E65" s="233"/>
      <c r="F65" s="59"/>
      <c r="G65" s="104"/>
      <c r="H65" s="19"/>
      <c r="I65" s="26"/>
      <c r="J65" s="22"/>
      <c r="M65" s="30"/>
      <c r="N65" s="30"/>
      <c r="O65" s="30"/>
      <c r="Q65" s="87"/>
    </row>
    <row r="66" spans="1:17" s="7" customFormat="1">
      <c r="A66" s="8"/>
      <c r="B66" s="52" t="s">
        <v>71</v>
      </c>
      <c r="C66" s="214">
        <v>286</v>
      </c>
      <c r="D66" s="41"/>
      <c r="E66" s="232"/>
      <c r="F66" s="81"/>
      <c r="G66" s="213"/>
      <c r="H66" s="81"/>
      <c r="I66" s="26"/>
      <c r="J66" s="22"/>
      <c r="M66" s="30"/>
      <c r="N66" s="30"/>
      <c r="O66" s="30"/>
      <c r="Q66" s="82"/>
    </row>
    <row r="67" spans="1:17" s="7" customFormat="1">
      <c r="A67" s="8"/>
      <c r="B67" s="52"/>
      <c r="C67" s="207" t="s">
        <v>170</v>
      </c>
      <c r="D67" s="203"/>
      <c r="E67" s="235" t="s">
        <v>171</v>
      </c>
      <c r="F67" s="203"/>
      <c r="G67" s="208" t="s">
        <v>164</v>
      </c>
      <c r="H67" s="41"/>
      <c r="I67" s="26"/>
      <c r="J67" s="22"/>
      <c r="M67" s="30"/>
      <c r="N67" s="30"/>
      <c r="O67" s="30"/>
      <c r="Q67" s="82"/>
    </row>
    <row r="68" spans="1:17" s="7" customFormat="1" ht="86.25" customHeight="1">
      <c r="A68" s="12" t="s">
        <v>54</v>
      </c>
      <c r="B68" s="52" t="s">
        <v>208</v>
      </c>
      <c r="C68" s="41"/>
      <c r="D68" s="41"/>
      <c r="E68" s="231"/>
      <c r="F68" s="41"/>
      <c r="G68" s="97"/>
      <c r="I68" s="26"/>
      <c r="J68" s="22"/>
      <c r="M68" s="30"/>
      <c r="N68" s="30"/>
      <c r="O68" s="30"/>
      <c r="Q68" s="82"/>
    </row>
    <row r="69" spans="1:17" s="7" customFormat="1" ht="44.25" customHeight="1">
      <c r="A69" s="8"/>
      <c r="B69" s="52" t="s">
        <v>116</v>
      </c>
      <c r="C69" s="214">
        <v>1</v>
      </c>
      <c r="D69" s="41"/>
      <c r="E69" s="232"/>
      <c r="F69" s="81"/>
      <c r="G69" s="213"/>
      <c r="H69" s="81"/>
      <c r="I69" s="26"/>
      <c r="J69" s="22"/>
      <c r="M69" s="30"/>
      <c r="N69" s="30"/>
      <c r="O69" s="30"/>
      <c r="Q69" s="82"/>
    </row>
    <row r="70" spans="1:17" s="7" customFormat="1" ht="15.95" customHeight="1">
      <c r="A70" s="8"/>
      <c r="B70" s="52"/>
      <c r="C70" s="41"/>
      <c r="D70" s="41"/>
      <c r="E70" s="231"/>
      <c r="F70" s="41"/>
      <c r="G70" s="97"/>
      <c r="I70" s="26"/>
      <c r="J70" s="22"/>
      <c r="M70" s="30"/>
      <c r="N70" s="30"/>
      <c r="O70" s="30"/>
      <c r="Q70" s="82"/>
    </row>
    <row r="71" spans="1:17" s="7" customFormat="1" ht="15.95" customHeight="1">
      <c r="A71" s="12" t="s">
        <v>61</v>
      </c>
      <c r="B71" s="52" t="s">
        <v>62</v>
      </c>
      <c r="C71" s="41"/>
      <c r="D71" s="41"/>
      <c r="E71" s="231"/>
      <c r="F71" s="41"/>
      <c r="G71" s="97"/>
      <c r="I71" s="26"/>
      <c r="J71" s="22"/>
      <c r="M71" s="30"/>
      <c r="N71" s="30"/>
      <c r="O71" s="30"/>
      <c r="Q71" s="82"/>
    </row>
    <row r="72" spans="1:17" s="7" customFormat="1" ht="15.95" customHeight="1">
      <c r="A72" s="20"/>
      <c r="B72" s="52"/>
      <c r="C72" s="59"/>
      <c r="D72" s="59"/>
      <c r="E72" s="233"/>
      <c r="F72" s="59"/>
      <c r="G72" s="104"/>
      <c r="H72" s="19"/>
      <c r="I72" s="26"/>
      <c r="J72" s="22"/>
      <c r="M72" s="30"/>
      <c r="N72" s="30"/>
      <c r="O72" s="30"/>
      <c r="Q72" s="87"/>
    </row>
    <row r="73" spans="1:17" s="7" customFormat="1" ht="15.95" customHeight="1">
      <c r="A73" s="8"/>
      <c r="B73" s="52" t="s">
        <v>41</v>
      </c>
      <c r="C73" s="214">
        <v>9</v>
      </c>
      <c r="D73" s="41"/>
      <c r="E73" s="232"/>
      <c r="F73" s="81"/>
      <c r="G73" s="213"/>
      <c r="H73" s="81"/>
      <c r="I73" s="26"/>
      <c r="J73" s="22"/>
      <c r="M73" s="30"/>
      <c r="N73" s="30"/>
      <c r="O73" s="30"/>
      <c r="Q73" s="82"/>
    </row>
    <row r="74" spans="1:17" s="7" customFormat="1" ht="15.95" customHeight="1">
      <c r="A74" s="8"/>
      <c r="B74" s="52"/>
      <c r="C74" s="41"/>
      <c r="D74" s="41"/>
      <c r="E74" s="231"/>
      <c r="F74" s="41"/>
      <c r="G74" s="97"/>
      <c r="H74" s="41"/>
      <c r="I74" s="26"/>
      <c r="J74" s="22"/>
      <c r="M74" s="30"/>
      <c r="N74" s="30"/>
      <c r="O74" s="30"/>
      <c r="Q74" s="82"/>
    </row>
    <row r="75" spans="1:17" s="7" customFormat="1" ht="89.25" customHeight="1">
      <c r="A75" s="12" t="s">
        <v>73</v>
      </c>
      <c r="B75" s="52" t="s">
        <v>135</v>
      </c>
      <c r="C75" s="41"/>
      <c r="D75" s="41"/>
      <c r="E75" s="231"/>
      <c r="F75" s="41"/>
      <c r="G75" s="97"/>
      <c r="I75" s="26"/>
      <c r="J75" s="22"/>
      <c r="M75" s="30"/>
      <c r="N75" s="30"/>
      <c r="O75" s="30"/>
      <c r="Q75" s="82"/>
    </row>
    <row r="76" spans="1:17" s="7" customFormat="1" ht="15.95" customHeight="1">
      <c r="A76" s="20"/>
      <c r="B76" s="52"/>
      <c r="C76" s="59"/>
      <c r="D76" s="59"/>
      <c r="E76" s="233"/>
      <c r="F76" s="59"/>
      <c r="G76" s="104"/>
      <c r="H76" s="19"/>
      <c r="I76" s="26"/>
      <c r="J76" s="22"/>
      <c r="M76" s="30"/>
      <c r="N76" s="30"/>
      <c r="O76" s="30"/>
      <c r="Q76" s="87"/>
    </row>
    <row r="77" spans="1:17" s="7" customFormat="1" ht="15.95" customHeight="1">
      <c r="A77" s="8"/>
      <c r="B77" s="52" t="s">
        <v>23</v>
      </c>
      <c r="C77" s="214">
        <v>1</v>
      </c>
      <c r="D77" s="41"/>
      <c r="E77" s="232"/>
      <c r="F77" s="81"/>
      <c r="G77" s="213"/>
      <c r="H77" s="81"/>
      <c r="I77" s="26"/>
      <c r="J77" s="22"/>
      <c r="M77" s="30"/>
      <c r="N77" s="30"/>
      <c r="O77" s="30"/>
      <c r="Q77" s="82"/>
    </row>
    <row r="78" spans="1:17" s="7" customFormat="1" ht="15.95" customHeight="1">
      <c r="A78" s="8"/>
      <c r="B78" s="52"/>
      <c r="C78" s="41"/>
      <c r="D78" s="41"/>
      <c r="E78" s="231"/>
      <c r="F78" s="41"/>
      <c r="G78" s="97"/>
      <c r="H78" s="41"/>
      <c r="I78" s="26"/>
      <c r="J78" s="22"/>
      <c r="M78" s="30"/>
      <c r="N78" s="30"/>
      <c r="O78" s="30"/>
      <c r="Q78" s="82"/>
    </row>
    <row r="79" spans="1:17" s="7" customFormat="1" ht="33.950000000000003" customHeight="1">
      <c r="A79" s="12" t="s">
        <v>74</v>
      </c>
      <c r="B79" s="52" t="s">
        <v>10</v>
      </c>
      <c r="C79" s="41"/>
      <c r="D79" s="41"/>
      <c r="E79" s="231"/>
      <c r="F79" s="41"/>
      <c r="G79" s="97"/>
      <c r="I79" s="26"/>
      <c r="J79" s="22"/>
      <c r="M79" s="30"/>
      <c r="N79" s="30"/>
      <c r="O79" s="30"/>
      <c r="Q79" s="82"/>
    </row>
    <row r="80" spans="1:17" s="7" customFormat="1" ht="15.95" customHeight="1">
      <c r="A80" s="20"/>
      <c r="B80" s="52"/>
      <c r="C80" s="59"/>
      <c r="D80" s="59"/>
      <c r="E80" s="233"/>
      <c r="F80" s="59"/>
      <c r="G80" s="104"/>
      <c r="H80" s="19"/>
      <c r="I80" s="26"/>
      <c r="J80" s="22"/>
      <c r="M80" s="30"/>
      <c r="N80" s="30"/>
      <c r="O80" s="30"/>
      <c r="Q80" s="87"/>
    </row>
    <row r="81" spans="1:17" s="7" customFormat="1" ht="15.95" customHeight="1">
      <c r="A81" s="8"/>
      <c r="B81" s="52" t="s">
        <v>23</v>
      </c>
      <c r="C81" s="214">
        <v>1</v>
      </c>
      <c r="D81" s="41"/>
      <c r="E81" s="232"/>
      <c r="F81" s="81"/>
      <c r="G81" s="213"/>
      <c r="H81" s="81"/>
      <c r="I81" s="26"/>
      <c r="J81" s="22"/>
      <c r="M81" s="30"/>
      <c r="N81" s="30"/>
      <c r="O81" s="30"/>
      <c r="Q81" s="82"/>
    </row>
    <row r="82" spans="1:17" s="7" customFormat="1" ht="15.95" customHeight="1">
      <c r="A82" s="8"/>
      <c r="B82" s="52"/>
      <c r="C82" s="41"/>
      <c r="D82" s="41"/>
      <c r="E82" s="231"/>
      <c r="F82" s="41"/>
      <c r="G82" s="97"/>
      <c r="I82" s="26"/>
      <c r="J82" s="22"/>
      <c r="M82" s="30"/>
      <c r="N82" s="30"/>
      <c r="O82" s="30"/>
      <c r="Q82" s="82"/>
    </row>
    <row r="83" spans="1:17" s="7" customFormat="1" ht="31.5">
      <c r="A83" s="11"/>
      <c r="B83" s="60" t="s">
        <v>43</v>
      </c>
      <c r="C83" s="49"/>
      <c r="D83" s="49"/>
      <c r="E83" s="236"/>
      <c r="F83" s="49"/>
      <c r="G83" s="209"/>
      <c r="H83" s="49"/>
      <c r="I83" s="118"/>
      <c r="J83" s="22"/>
      <c r="M83" s="30"/>
      <c r="N83" s="30"/>
      <c r="O83" s="30"/>
      <c r="Q83" s="84"/>
    </row>
    <row r="84" spans="1:17" s="7" customFormat="1">
      <c r="A84" s="11"/>
      <c r="B84" s="60"/>
      <c r="C84" s="49"/>
      <c r="D84" s="49"/>
      <c r="E84" s="236"/>
      <c r="F84" s="49"/>
      <c r="G84" s="100"/>
      <c r="H84" s="49"/>
      <c r="I84" s="26"/>
      <c r="J84" s="22"/>
      <c r="M84" s="30"/>
      <c r="N84" s="30"/>
      <c r="O84" s="30"/>
      <c r="Q84" s="84"/>
    </row>
    <row r="85" spans="1:17" s="7" customFormat="1">
      <c r="A85" s="11" t="s">
        <v>32</v>
      </c>
      <c r="B85" s="9" t="s">
        <v>17</v>
      </c>
      <c r="C85" s="46"/>
      <c r="E85" s="237"/>
      <c r="G85" s="99"/>
      <c r="I85" s="26"/>
      <c r="J85" s="22"/>
      <c r="M85" s="30"/>
      <c r="N85" s="30"/>
      <c r="O85" s="30"/>
      <c r="Q85" s="91"/>
    </row>
    <row r="86" spans="1:17" s="7" customFormat="1">
      <c r="A86" s="11"/>
      <c r="B86" s="9"/>
      <c r="C86" s="46"/>
      <c r="E86" s="237"/>
      <c r="G86" s="99"/>
      <c r="I86" s="26"/>
      <c r="J86" s="22"/>
      <c r="M86" s="30"/>
      <c r="N86" s="30"/>
      <c r="O86" s="30"/>
      <c r="Q86" s="91"/>
    </row>
    <row r="87" spans="1:17" s="64" customFormat="1" ht="64.5" customHeight="1">
      <c r="A87" s="12" t="s">
        <v>33</v>
      </c>
      <c r="B87" s="52" t="s">
        <v>134</v>
      </c>
      <c r="C87" s="41"/>
      <c r="D87" s="41"/>
      <c r="E87" s="231"/>
      <c r="F87" s="41"/>
      <c r="G87" s="97"/>
      <c r="H87" s="61"/>
      <c r="I87" s="62"/>
      <c r="J87" s="63"/>
      <c r="M87" s="65"/>
      <c r="N87" s="65"/>
      <c r="O87" s="65"/>
      <c r="Q87" s="82"/>
    </row>
    <row r="88" spans="1:17">
      <c r="A88" s="18"/>
      <c r="B88" s="52"/>
      <c r="C88" s="59"/>
      <c r="D88" s="59"/>
      <c r="E88" s="233"/>
      <c r="F88" s="59"/>
      <c r="G88" s="104"/>
      <c r="H88" s="64"/>
      <c r="Q88" s="87"/>
    </row>
    <row r="89" spans="1:17">
      <c r="B89" s="52" t="s">
        <v>20</v>
      </c>
      <c r="C89" s="214">
        <v>7.75</v>
      </c>
      <c r="E89" s="230"/>
      <c r="F89" s="81"/>
      <c r="G89" s="213"/>
      <c r="H89" s="81"/>
    </row>
    <row r="90" spans="1:17">
      <c r="B90" s="52"/>
      <c r="E90" s="231"/>
      <c r="H90" s="61"/>
    </row>
    <row r="91" spans="1:17" ht="69" customHeight="1">
      <c r="A91" s="43" t="s">
        <v>34</v>
      </c>
      <c r="B91" s="52" t="s">
        <v>133</v>
      </c>
      <c r="E91" s="231"/>
      <c r="H91" s="61"/>
      <c r="J91" s="52"/>
    </row>
    <row r="92" spans="1:17">
      <c r="B92" s="52"/>
      <c r="E92" s="231"/>
      <c r="H92" s="61"/>
    </row>
    <row r="93" spans="1:17">
      <c r="B93" s="52" t="s">
        <v>25</v>
      </c>
      <c r="C93" s="214">
        <f>41.4/0.09</f>
        <v>460</v>
      </c>
      <c r="E93" s="232"/>
      <c r="F93" s="81"/>
      <c r="G93" s="213"/>
      <c r="H93" s="81"/>
    </row>
    <row r="94" spans="1:17">
      <c r="B94" s="52"/>
      <c r="C94" s="207" t="s">
        <v>170</v>
      </c>
      <c r="D94" s="203"/>
      <c r="E94" s="235" t="s">
        <v>171</v>
      </c>
      <c r="F94" s="203"/>
      <c r="G94" s="208" t="s">
        <v>164</v>
      </c>
      <c r="H94" s="61"/>
    </row>
    <row r="95" spans="1:17" ht="83.25" customHeight="1">
      <c r="A95" s="43" t="s">
        <v>35</v>
      </c>
      <c r="B95" s="52" t="s">
        <v>87</v>
      </c>
      <c r="E95" s="231"/>
      <c r="H95" s="61"/>
    </row>
    <row r="96" spans="1:17">
      <c r="B96" s="52"/>
      <c r="E96" s="231"/>
      <c r="H96" s="61"/>
    </row>
    <row r="97" spans="1:10">
      <c r="B97" s="52" t="s">
        <v>20</v>
      </c>
      <c r="C97" s="214">
        <f>C50*0.8</f>
        <v>3.2</v>
      </c>
      <c r="E97" s="232"/>
      <c r="F97" s="81"/>
      <c r="G97" s="213"/>
      <c r="H97" s="81"/>
      <c r="J97" s="36"/>
    </row>
    <row r="98" spans="1:10">
      <c r="B98" s="52"/>
      <c r="E98" s="231"/>
      <c r="H98" s="41"/>
      <c r="J98" s="36"/>
    </row>
    <row r="99" spans="1:10" ht="69" customHeight="1">
      <c r="A99" s="43" t="s">
        <v>36</v>
      </c>
      <c r="B99" s="52" t="s">
        <v>88</v>
      </c>
      <c r="E99" s="231"/>
      <c r="H99" s="61"/>
    </row>
    <row r="100" spans="1:10">
      <c r="B100" s="52"/>
      <c r="E100" s="231"/>
      <c r="H100" s="61"/>
    </row>
    <row r="101" spans="1:10" ht="25.5">
      <c r="B101" s="52" t="s">
        <v>141</v>
      </c>
      <c r="E101" s="231"/>
      <c r="H101" s="61"/>
    </row>
    <row r="102" spans="1:10">
      <c r="B102" s="52" t="s">
        <v>20</v>
      </c>
      <c r="C102" s="214">
        <f>756.61*0.8</f>
        <v>605.28800000000001</v>
      </c>
      <c r="E102" s="230"/>
      <c r="F102" s="81"/>
      <c r="G102" s="213"/>
      <c r="H102" s="81"/>
    </row>
    <row r="103" spans="1:10">
      <c r="B103" s="52"/>
      <c r="E103" s="231"/>
      <c r="H103" s="41"/>
      <c r="J103" s="36"/>
    </row>
    <row r="104" spans="1:10">
      <c r="B104" s="52" t="s">
        <v>142</v>
      </c>
      <c r="E104" s="231"/>
      <c r="H104" s="61"/>
    </row>
    <row r="105" spans="1:10">
      <c r="B105" s="52" t="s">
        <v>20</v>
      </c>
      <c r="C105" s="214">
        <f>756.61*0.2</f>
        <v>151.322</v>
      </c>
      <c r="E105" s="232"/>
      <c r="F105" s="81"/>
      <c r="G105" s="213"/>
      <c r="H105" s="81"/>
    </row>
    <row r="106" spans="1:10">
      <c r="B106" s="52"/>
      <c r="E106" s="231"/>
      <c r="H106" s="61"/>
    </row>
    <row r="107" spans="1:10" ht="67.5" customHeight="1">
      <c r="A107" s="43" t="s">
        <v>37</v>
      </c>
      <c r="B107" s="52" t="s">
        <v>89</v>
      </c>
      <c r="E107" s="231"/>
      <c r="H107" s="61"/>
    </row>
    <row r="108" spans="1:10">
      <c r="B108" s="52"/>
      <c r="E108" s="231"/>
      <c r="H108" s="61"/>
    </row>
    <row r="109" spans="1:10" ht="25.5">
      <c r="B109" s="52" t="s">
        <v>141</v>
      </c>
      <c r="E109" s="231"/>
      <c r="H109" s="61"/>
    </row>
    <row r="110" spans="1:10">
      <c r="B110" s="52" t="s">
        <v>20</v>
      </c>
      <c r="C110" s="214">
        <f>29.55*0.8</f>
        <v>23.64</v>
      </c>
      <c r="E110" s="238"/>
      <c r="F110" s="81"/>
      <c r="G110" s="213"/>
      <c r="H110" s="81"/>
    </row>
    <row r="111" spans="1:10">
      <c r="B111" s="52"/>
      <c r="E111" s="231"/>
      <c r="H111" s="41"/>
      <c r="J111" s="36"/>
    </row>
    <row r="112" spans="1:10">
      <c r="B112" s="52" t="s">
        <v>142</v>
      </c>
      <c r="E112" s="231"/>
      <c r="H112" s="61"/>
    </row>
    <row r="113" spans="1:17">
      <c r="B113" s="52" t="s">
        <v>20</v>
      </c>
      <c r="C113" s="214">
        <f>29.55*0.2</f>
        <v>5.91</v>
      </c>
      <c r="E113" s="230"/>
      <c r="F113" s="81"/>
      <c r="G113" s="213"/>
      <c r="H113" s="81"/>
    </row>
    <row r="114" spans="1:17" s="68" customFormat="1">
      <c r="A114" s="69"/>
      <c r="B114" s="70"/>
      <c r="C114" s="66"/>
      <c r="D114" s="66"/>
      <c r="E114" s="231"/>
      <c r="F114" s="66"/>
      <c r="G114" s="97"/>
      <c r="H114" s="67"/>
      <c r="Q114" s="88"/>
    </row>
    <row r="115" spans="1:17" s="64" customFormat="1" ht="42" customHeight="1">
      <c r="A115" s="43" t="s">
        <v>45</v>
      </c>
      <c r="B115" s="52" t="s">
        <v>38</v>
      </c>
      <c r="C115" s="41"/>
      <c r="D115" s="41"/>
      <c r="E115" s="231"/>
      <c r="F115" s="41"/>
      <c r="G115" s="97"/>
      <c r="H115" s="61"/>
      <c r="I115" s="62"/>
      <c r="J115" s="63"/>
      <c r="M115" s="65"/>
      <c r="N115" s="65"/>
      <c r="O115" s="65"/>
      <c r="Q115" s="82"/>
    </row>
    <row r="116" spans="1:17">
      <c r="B116" s="52"/>
      <c r="C116" s="59"/>
      <c r="D116" s="59"/>
      <c r="E116" s="231"/>
      <c r="F116" s="59"/>
      <c r="G116" s="104"/>
      <c r="H116" s="64"/>
      <c r="Q116" s="87"/>
    </row>
    <row r="117" spans="1:17">
      <c r="B117" s="52" t="s">
        <v>25</v>
      </c>
      <c r="C117" s="214">
        <f>C42*0.75</f>
        <v>214.5</v>
      </c>
      <c r="E117" s="232"/>
      <c r="G117" s="213"/>
      <c r="H117" s="41"/>
    </row>
    <row r="118" spans="1:17">
      <c r="B118" s="52"/>
      <c r="C118" s="207" t="s">
        <v>170</v>
      </c>
      <c r="D118" s="203"/>
      <c r="E118" s="235" t="s">
        <v>171</v>
      </c>
      <c r="F118" s="203"/>
      <c r="G118" s="208" t="s">
        <v>164</v>
      </c>
      <c r="H118" s="61"/>
    </row>
    <row r="119" spans="1:17" s="64" customFormat="1" ht="140.25">
      <c r="A119" s="43" t="s">
        <v>46</v>
      </c>
      <c r="B119" s="52" t="s">
        <v>90</v>
      </c>
      <c r="C119" s="41"/>
      <c r="D119" s="41"/>
      <c r="E119" s="231"/>
      <c r="F119" s="41"/>
      <c r="G119" s="97"/>
      <c r="H119" s="61"/>
      <c r="I119" s="62"/>
      <c r="J119" s="63"/>
      <c r="M119" s="65"/>
      <c r="N119" s="65"/>
      <c r="O119" s="65"/>
      <c r="Q119" s="82"/>
    </row>
    <row r="120" spans="1:17">
      <c r="A120" s="71"/>
      <c r="B120" s="52"/>
      <c r="C120" s="59"/>
      <c r="D120" s="59"/>
      <c r="E120" s="231"/>
      <c r="F120" s="59"/>
      <c r="G120" s="104"/>
      <c r="H120" s="64"/>
      <c r="Q120" s="87"/>
    </row>
    <row r="121" spans="1:17">
      <c r="B121" s="52" t="s">
        <v>20</v>
      </c>
      <c r="C121" s="214">
        <v>41.3</v>
      </c>
      <c r="E121" s="232"/>
      <c r="G121" s="213"/>
      <c r="H121" s="41"/>
    </row>
    <row r="122" spans="1:17">
      <c r="B122" s="52"/>
      <c r="C122" s="38"/>
      <c r="D122" s="38"/>
      <c r="E122" s="243"/>
      <c r="F122" s="38"/>
      <c r="G122" s="38"/>
      <c r="H122" s="61"/>
    </row>
    <row r="123" spans="1:17" s="64" customFormat="1" ht="114.75">
      <c r="A123" s="43" t="s">
        <v>47</v>
      </c>
      <c r="B123" s="52" t="s">
        <v>132</v>
      </c>
      <c r="C123" s="41"/>
      <c r="D123" s="41"/>
      <c r="E123" s="231"/>
      <c r="F123" s="41"/>
      <c r="G123" s="97"/>
      <c r="H123" s="61"/>
      <c r="I123" s="62"/>
      <c r="J123" s="63"/>
      <c r="M123" s="65"/>
      <c r="N123" s="65"/>
      <c r="O123" s="65"/>
      <c r="Q123" s="82"/>
    </row>
    <row r="124" spans="1:17">
      <c r="A124" s="71"/>
      <c r="B124" s="52"/>
      <c r="C124" s="59"/>
      <c r="D124" s="59"/>
      <c r="E124" s="231"/>
      <c r="F124" s="59"/>
      <c r="G124" s="104"/>
      <c r="H124" s="64"/>
      <c r="Q124" s="87"/>
    </row>
    <row r="125" spans="1:17">
      <c r="B125" s="52" t="s">
        <v>20</v>
      </c>
      <c r="C125" s="214">
        <v>141.6</v>
      </c>
      <c r="E125" s="232"/>
      <c r="G125" s="213"/>
      <c r="H125" s="41"/>
    </row>
    <row r="126" spans="1:17">
      <c r="B126" s="52"/>
      <c r="E126" s="231"/>
      <c r="H126" s="61"/>
    </row>
    <row r="127" spans="1:17" ht="96" customHeight="1">
      <c r="A127" s="43" t="s">
        <v>48</v>
      </c>
      <c r="B127" s="52" t="s">
        <v>91</v>
      </c>
      <c r="E127" s="231"/>
      <c r="H127" s="61"/>
    </row>
    <row r="128" spans="1:17">
      <c r="A128" s="71"/>
      <c r="B128" s="52"/>
      <c r="E128" s="231"/>
      <c r="H128" s="61"/>
    </row>
    <row r="129" spans="1:17">
      <c r="B129" s="52" t="s">
        <v>20</v>
      </c>
      <c r="C129" s="214">
        <f>479.63*0.93</f>
        <v>446.05590000000001</v>
      </c>
      <c r="E129" s="232"/>
      <c r="G129" s="213"/>
      <c r="H129" s="41"/>
    </row>
    <row r="130" spans="1:17">
      <c r="B130" s="52"/>
      <c r="E130" s="231"/>
      <c r="H130" s="61"/>
    </row>
    <row r="131" spans="1:17" s="64" customFormat="1" ht="38.25">
      <c r="A131" s="43" t="s">
        <v>49</v>
      </c>
      <c r="B131" s="52" t="s">
        <v>92</v>
      </c>
      <c r="C131" s="41"/>
      <c r="D131" s="41"/>
      <c r="E131" s="231"/>
      <c r="F131" s="41"/>
      <c r="G131" s="97"/>
      <c r="H131" s="61"/>
      <c r="Q131" s="82"/>
    </row>
    <row r="132" spans="1:17">
      <c r="A132" s="71"/>
      <c r="B132" s="52"/>
      <c r="C132" s="59"/>
      <c r="D132" s="59"/>
      <c r="E132" s="231"/>
      <c r="F132" s="59"/>
      <c r="G132" s="104"/>
      <c r="H132" s="64"/>
      <c r="I132" s="38"/>
      <c r="J132" s="38"/>
      <c r="M132" s="38"/>
      <c r="N132" s="38"/>
      <c r="O132" s="38"/>
      <c r="Q132" s="87"/>
    </row>
    <row r="133" spans="1:17">
      <c r="B133" s="52" t="s">
        <v>20</v>
      </c>
      <c r="C133" s="214">
        <f>479.63*0.07</f>
        <v>33.574100000000001</v>
      </c>
      <c r="E133" s="232"/>
      <c r="G133" s="213"/>
      <c r="H133" s="41"/>
      <c r="I133" s="38"/>
      <c r="J133" s="38"/>
      <c r="M133" s="38"/>
      <c r="N133" s="38"/>
      <c r="O133" s="38"/>
    </row>
    <row r="134" spans="1:17">
      <c r="B134" s="52"/>
      <c r="E134" s="231"/>
      <c r="H134" s="61"/>
      <c r="I134" s="38"/>
      <c r="J134" s="38"/>
      <c r="M134" s="38"/>
      <c r="N134" s="38"/>
      <c r="O134" s="38"/>
    </row>
    <row r="135" spans="1:17" ht="114.75">
      <c r="A135" s="43" t="s">
        <v>50</v>
      </c>
      <c r="B135" s="52" t="s">
        <v>177</v>
      </c>
      <c r="E135" s="231"/>
      <c r="H135" s="61"/>
      <c r="K135" s="52"/>
    </row>
    <row r="136" spans="1:17">
      <c r="A136" s="71"/>
      <c r="B136" s="52"/>
      <c r="E136" s="231"/>
      <c r="H136" s="61"/>
    </row>
    <row r="137" spans="1:17">
      <c r="B137" s="52" t="s">
        <v>20</v>
      </c>
      <c r="C137" s="214">
        <v>108</v>
      </c>
      <c r="E137" s="232"/>
      <c r="G137" s="213"/>
      <c r="H137" s="41"/>
    </row>
    <row r="138" spans="1:17">
      <c r="B138" s="52"/>
      <c r="C138" s="207" t="s">
        <v>170</v>
      </c>
      <c r="D138" s="203"/>
      <c r="E138" s="235" t="s">
        <v>171</v>
      </c>
      <c r="F138" s="203"/>
      <c r="G138" s="208" t="s">
        <v>164</v>
      </c>
      <c r="H138" s="61"/>
    </row>
    <row r="139" spans="1:17" ht="330" customHeight="1">
      <c r="A139" s="43" t="s">
        <v>51</v>
      </c>
      <c r="B139" s="16" t="s">
        <v>168</v>
      </c>
      <c r="E139" s="231"/>
      <c r="H139" s="61"/>
    </row>
    <row r="140" spans="1:17">
      <c r="A140" s="71"/>
      <c r="B140" s="72"/>
      <c r="E140" s="231"/>
      <c r="H140" s="61"/>
    </row>
    <row r="141" spans="1:17">
      <c r="B141" s="52" t="s">
        <v>25</v>
      </c>
      <c r="C141" s="214">
        <f>C93</f>
        <v>460</v>
      </c>
      <c r="E141" s="230"/>
      <c r="G141" s="213"/>
      <c r="H141" s="41"/>
    </row>
    <row r="142" spans="1:17">
      <c r="B142" s="52"/>
      <c r="E142" s="231"/>
      <c r="H142" s="41"/>
    </row>
    <row r="143" spans="1:17" ht="55.7" customHeight="1">
      <c r="A143" s="43" t="s">
        <v>67</v>
      </c>
      <c r="B143" s="16" t="s">
        <v>249</v>
      </c>
      <c r="E143" s="231"/>
      <c r="H143" s="61"/>
    </row>
    <row r="144" spans="1:17">
      <c r="A144" s="71"/>
      <c r="B144" s="72"/>
      <c r="E144" s="231"/>
      <c r="H144" s="61"/>
    </row>
    <row r="145" spans="1:17">
      <c r="B145" s="52" t="s">
        <v>25</v>
      </c>
      <c r="C145" s="214">
        <v>225</v>
      </c>
      <c r="E145" s="232"/>
      <c r="G145" s="213"/>
      <c r="H145" s="41"/>
    </row>
    <row r="146" spans="1:17">
      <c r="B146" s="52"/>
      <c r="E146" s="231"/>
      <c r="H146" s="61"/>
    </row>
    <row r="147" spans="1:17" ht="116.25">
      <c r="A147" s="43" t="s">
        <v>57</v>
      </c>
      <c r="B147" s="52" t="s">
        <v>96</v>
      </c>
      <c r="E147" s="231"/>
      <c r="H147" s="61"/>
    </row>
    <row r="148" spans="1:17">
      <c r="B148" s="52"/>
      <c r="E148" s="231"/>
      <c r="H148" s="61"/>
    </row>
    <row r="149" spans="1:17">
      <c r="B149" s="52" t="s">
        <v>20</v>
      </c>
      <c r="C149" s="214">
        <f>(786.16-C133)*1.3</f>
        <v>978.36166999999989</v>
      </c>
      <c r="E149" s="232"/>
      <c r="G149" s="213"/>
      <c r="H149" s="41"/>
    </row>
    <row r="150" spans="1:17">
      <c r="B150" s="52"/>
      <c r="C150" s="207" t="s">
        <v>170</v>
      </c>
      <c r="D150" s="203"/>
      <c r="E150" s="235" t="s">
        <v>171</v>
      </c>
      <c r="F150" s="203"/>
      <c r="G150" s="208" t="s">
        <v>164</v>
      </c>
      <c r="H150" s="61"/>
    </row>
    <row r="151" spans="1:17" ht="141.94999999999999" customHeight="1">
      <c r="A151" s="43" t="s">
        <v>58</v>
      </c>
      <c r="B151" s="52" t="s">
        <v>131</v>
      </c>
      <c r="E151" s="231"/>
      <c r="H151" s="61"/>
    </row>
    <row r="152" spans="1:17">
      <c r="B152" s="52"/>
      <c r="E152" s="231"/>
      <c r="H152" s="61"/>
    </row>
    <row r="153" spans="1:17">
      <c r="B153" s="52" t="s">
        <v>25</v>
      </c>
      <c r="C153" s="214">
        <f>C89/0.15</f>
        <v>51.666666666666671</v>
      </c>
      <c r="E153" s="232"/>
      <c r="G153" s="213"/>
      <c r="H153" s="41"/>
    </row>
    <row r="154" spans="1:17">
      <c r="B154" s="52"/>
      <c r="C154" s="38"/>
      <c r="D154" s="38"/>
      <c r="E154" s="243"/>
      <c r="F154" s="38"/>
      <c r="G154" s="38"/>
      <c r="H154" s="61"/>
    </row>
    <row r="155" spans="1:17" ht="55.7" customHeight="1">
      <c r="A155" s="43" t="s">
        <v>64</v>
      </c>
      <c r="B155" s="52" t="s">
        <v>97</v>
      </c>
      <c r="E155" s="231"/>
      <c r="H155" s="61"/>
    </row>
    <row r="156" spans="1:17">
      <c r="B156" s="52"/>
      <c r="E156" s="231"/>
      <c r="H156" s="61"/>
    </row>
    <row r="157" spans="1:17">
      <c r="B157" s="52" t="s">
        <v>41</v>
      </c>
      <c r="C157" s="214">
        <v>3</v>
      </c>
      <c r="E157" s="232"/>
      <c r="G157" s="213"/>
      <c r="H157" s="41"/>
    </row>
    <row r="158" spans="1:17">
      <c r="B158" s="52"/>
      <c r="E158" s="231"/>
      <c r="H158" s="61"/>
    </row>
    <row r="159" spans="1:17" s="64" customFormat="1" ht="63.75">
      <c r="A159" s="43" t="s">
        <v>65</v>
      </c>
      <c r="B159" s="52" t="s">
        <v>7</v>
      </c>
      <c r="C159" s="41"/>
      <c r="D159" s="41"/>
      <c r="E159" s="231"/>
      <c r="F159" s="41"/>
      <c r="G159" s="97"/>
      <c r="H159" s="61"/>
      <c r="I159" s="62"/>
      <c r="J159" s="63"/>
      <c r="M159" s="65"/>
      <c r="N159" s="65"/>
      <c r="O159" s="65"/>
      <c r="Q159" s="82"/>
    </row>
    <row r="160" spans="1:17">
      <c r="B160" s="52"/>
      <c r="C160" s="59"/>
      <c r="D160" s="59"/>
      <c r="E160" s="233"/>
      <c r="F160" s="59"/>
      <c r="G160" s="104"/>
      <c r="H160" s="64"/>
      <c r="Q160" s="87"/>
    </row>
    <row r="161" spans="1:17">
      <c r="B161" s="52" t="s">
        <v>39</v>
      </c>
      <c r="E161" s="231"/>
      <c r="G161" s="213"/>
      <c r="H161" s="41"/>
    </row>
    <row r="162" spans="1:17">
      <c r="B162" s="52"/>
      <c r="E162" s="231"/>
      <c r="H162" s="61"/>
    </row>
    <row r="163" spans="1:17" s="7" customFormat="1">
      <c r="A163" s="43"/>
      <c r="B163" s="60" t="s">
        <v>21</v>
      </c>
      <c r="C163" s="56"/>
      <c r="D163" s="56"/>
      <c r="E163" s="239"/>
      <c r="F163" s="56"/>
      <c r="G163" s="209"/>
      <c r="H163" s="49"/>
      <c r="I163" s="26"/>
      <c r="J163" s="22"/>
      <c r="M163" s="30"/>
      <c r="N163" s="30"/>
      <c r="O163" s="30"/>
      <c r="Q163" s="86"/>
    </row>
    <row r="164" spans="1:17" ht="15.95" customHeight="1">
      <c r="A164" s="47"/>
      <c r="B164" s="9"/>
      <c r="C164" s="56"/>
      <c r="D164" s="56"/>
      <c r="E164" s="239"/>
      <c r="F164" s="56"/>
      <c r="G164" s="100"/>
      <c r="Q164" s="86"/>
    </row>
    <row r="165" spans="1:17">
      <c r="A165" s="11" t="s">
        <v>42</v>
      </c>
      <c r="B165" s="9" t="s">
        <v>18</v>
      </c>
      <c r="C165" s="46"/>
      <c r="D165" s="7"/>
      <c r="E165" s="237"/>
      <c r="F165" s="7"/>
      <c r="G165" s="99"/>
      <c r="H165" s="7"/>
      <c r="Q165" s="91"/>
    </row>
    <row r="166" spans="1:17">
      <c r="A166" s="11"/>
      <c r="B166" s="9"/>
      <c r="C166" s="46"/>
      <c r="D166" s="7"/>
      <c r="E166" s="237"/>
      <c r="F166" s="7"/>
      <c r="G166" s="99"/>
      <c r="H166" s="7"/>
      <c r="Q166" s="91"/>
    </row>
    <row r="167" spans="1:17" ht="43.5" customHeight="1">
      <c r="A167" s="43" t="s">
        <v>112</v>
      </c>
      <c r="B167" s="73" t="s">
        <v>98</v>
      </c>
      <c r="E167" s="231"/>
      <c r="H167" s="61"/>
    </row>
    <row r="168" spans="1:17">
      <c r="B168" s="52"/>
      <c r="E168" s="231"/>
      <c r="H168" s="61"/>
    </row>
    <row r="169" spans="1:17">
      <c r="B169" s="52" t="s">
        <v>22</v>
      </c>
      <c r="C169" s="214">
        <v>285</v>
      </c>
      <c r="E169" s="232"/>
      <c r="G169" s="213"/>
      <c r="H169" s="41"/>
    </row>
    <row r="170" spans="1:17">
      <c r="B170" s="52"/>
      <c r="C170" s="120"/>
      <c r="E170" s="231"/>
      <c r="H170" s="41"/>
    </row>
    <row r="171" spans="1:17" ht="97.5" customHeight="1">
      <c r="A171" s="43" t="s">
        <v>78</v>
      </c>
      <c r="B171" s="73" t="s">
        <v>99</v>
      </c>
      <c r="E171" s="231"/>
      <c r="H171" s="61"/>
    </row>
    <row r="172" spans="1:17">
      <c r="B172" s="52"/>
      <c r="E172" s="231"/>
      <c r="H172" s="61"/>
    </row>
    <row r="173" spans="1:17">
      <c r="B173" s="52" t="s">
        <v>22</v>
      </c>
      <c r="C173" s="214">
        <v>285</v>
      </c>
      <c r="E173" s="230"/>
      <c r="G173" s="213"/>
      <c r="H173" s="41"/>
    </row>
    <row r="174" spans="1:17" s="79" customFormat="1">
      <c r="A174" s="43"/>
      <c r="B174" s="52"/>
      <c r="C174" s="207" t="s">
        <v>170</v>
      </c>
      <c r="D174" s="203"/>
      <c r="E174" s="235" t="s">
        <v>171</v>
      </c>
      <c r="F174" s="203"/>
      <c r="G174" s="208" t="s">
        <v>164</v>
      </c>
      <c r="H174" s="41"/>
      <c r="Q174" s="95"/>
    </row>
    <row r="175" spans="1:17" s="79" customFormat="1" ht="114" customHeight="1">
      <c r="A175" s="43" t="s">
        <v>101</v>
      </c>
      <c r="B175" s="10" t="s">
        <v>195</v>
      </c>
      <c r="C175" s="41"/>
      <c r="D175" s="41"/>
      <c r="E175" s="231"/>
      <c r="F175" s="41"/>
      <c r="G175" s="97"/>
      <c r="H175" s="125"/>
      <c r="K175" s="10"/>
      <c r="Q175" s="82"/>
    </row>
    <row r="176" spans="1:17" s="79" customFormat="1">
      <c r="A176" s="43"/>
      <c r="B176" s="10"/>
      <c r="C176" s="41"/>
      <c r="D176" s="41"/>
      <c r="E176" s="231"/>
      <c r="F176" s="41"/>
      <c r="G176" s="97"/>
      <c r="H176" s="125"/>
      <c r="K176" s="10"/>
      <c r="Q176" s="82"/>
    </row>
    <row r="177" spans="1:17" s="79" customFormat="1">
      <c r="A177" s="43"/>
      <c r="B177" s="52" t="s">
        <v>117</v>
      </c>
      <c r="C177" s="216">
        <v>9</v>
      </c>
      <c r="D177" s="41"/>
      <c r="E177" s="232"/>
      <c r="F177" s="41"/>
      <c r="G177" s="213"/>
      <c r="H177" s="41"/>
      <c r="Q177" s="95"/>
    </row>
    <row r="178" spans="1:17" s="79" customFormat="1">
      <c r="A178" s="43"/>
      <c r="B178" s="52" t="s">
        <v>118</v>
      </c>
      <c r="C178" s="216">
        <v>1</v>
      </c>
      <c r="D178" s="41"/>
      <c r="E178" s="232"/>
      <c r="F178" s="41"/>
      <c r="G178" s="213"/>
      <c r="H178" s="41"/>
      <c r="Q178" s="95"/>
    </row>
    <row r="179" spans="1:17" s="79" customFormat="1">
      <c r="A179" s="43"/>
      <c r="B179" s="52" t="s">
        <v>119</v>
      </c>
      <c r="C179" s="216">
        <v>1</v>
      </c>
      <c r="D179" s="41"/>
      <c r="E179" s="232"/>
      <c r="F179" s="41"/>
      <c r="G179" s="213"/>
      <c r="H179" s="41"/>
      <c r="Q179" s="95"/>
    </row>
    <row r="180" spans="1:17" s="79" customFormat="1">
      <c r="A180" s="43"/>
      <c r="B180" s="52"/>
      <c r="C180" s="124"/>
      <c r="D180" s="41"/>
      <c r="E180" s="231"/>
      <c r="F180" s="41"/>
      <c r="G180" s="97"/>
      <c r="H180" s="41"/>
      <c r="Q180" s="95"/>
    </row>
    <row r="181" spans="1:17" s="79" customFormat="1" ht="162" customHeight="1">
      <c r="A181" s="43" t="s">
        <v>79</v>
      </c>
      <c r="B181" s="10" t="s">
        <v>194</v>
      </c>
      <c r="C181" s="41"/>
      <c r="D181" s="41"/>
      <c r="E181" s="231"/>
      <c r="F181" s="41"/>
      <c r="G181" s="97"/>
      <c r="H181" s="125"/>
      <c r="K181" s="10"/>
      <c r="Q181" s="82"/>
    </row>
    <row r="182" spans="1:17" s="79" customFormat="1">
      <c r="A182" s="43"/>
      <c r="B182" s="52"/>
      <c r="C182" s="41"/>
      <c r="D182" s="41"/>
      <c r="E182" s="231"/>
      <c r="F182" s="41"/>
      <c r="G182" s="97"/>
      <c r="H182" s="125"/>
      <c r="Q182" s="82"/>
    </row>
    <row r="183" spans="1:17" s="79" customFormat="1">
      <c r="A183" s="43"/>
      <c r="B183" s="52" t="s">
        <v>117</v>
      </c>
      <c r="C183" s="216">
        <f>C177</f>
        <v>9</v>
      </c>
      <c r="D183" s="41"/>
      <c r="E183" s="232"/>
      <c r="F183" s="41"/>
      <c r="G183" s="213"/>
      <c r="H183" s="41"/>
      <c r="Q183" s="95"/>
    </row>
    <row r="184" spans="1:17" s="79" customFormat="1">
      <c r="A184" s="43"/>
      <c r="B184" s="52" t="s">
        <v>118</v>
      </c>
      <c r="C184" s="124">
        <f>C178</f>
        <v>1</v>
      </c>
      <c r="D184" s="41"/>
      <c r="E184" s="232"/>
      <c r="F184" s="41"/>
      <c r="G184" s="213"/>
      <c r="H184" s="41"/>
      <c r="Q184" s="95"/>
    </row>
    <row r="185" spans="1:17" s="79" customFormat="1">
      <c r="A185" s="43"/>
      <c r="B185" s="52" t="s">
        <v>119</v>
      </c>
      <c r="C185" s="124">
        <f>C179</f>
        <v>1</v>
      </c>
      <c r="D185" s="41"/>
      <c r="E185" s="232"/>
      <c r="F185" s="41"/>
      <c r="G185" s="213"/>
      <c r="H185" s="41"/>
      <c r="Q185" s="95"/>
    </row>
    <row r="186" spans="1:17" s="79" customFormat="1">
      <c r="A186" s="43"/>
      <c r="B186" s="52"/>
      <c r="C186" s="124"/>
      <c r="D186" s="41"/>
      <c r="E186" s="231"/>
      <c r="F186" s="41"/>
      <c r="G186" s="97"/>
      <c r="H186" s="41"/>
      <c r="Q186" s="95"/>
    </row>
    <row r="187" spans="1:17" s="79" customFormat="1" ht="122.25" customHeight="1">
      <c r="A187" s="43" t="s">
        <v>113</v>
      </c>
      <c r="B187" s="10" t="s">
        <v>204</v>
      </c>
      <c r="C187" s="41"/>
      <c r="D187" s="41"/>
      <c r="E187" s="231"/>
      <c r="F187" s="41"/>
      <c r="G187" s="97"/>
      <c r="H187" s="125"/>
      <c r="K187" s="10"/>
      <c r="Q187" s="82"/>
    </row>
    <row r="188" spans="1:17" s="79" customFormat="1">
      <c r="A188" s="43"/>
      <c r="B188" s="10"/>
      <c r="C188" s="41"/>
      <c r="D188" s="41"/>
      <c r="E188" s="231"/>
      <c r="F188" s="41"/>
      <c r="G188" s="97"/>
      <c r="H188" s="125"/>
      <c r="K188" s="10"/>
      <c r="Q188" s="82"/>
    </row>
    <row r="189" spans="1:17" s="79" customFormat="1">
      <c r="A189" s="43"/>
      <c r="B189" s="52" t="s">
        <v>118</v>
      </c>
      <c r="C189" s="216">
        <v>1</v>
      </c>
      <c r="D189" s="41"/>
      <c r="E189" s="232"/>
      <c r="F189" s="41"/>
      <c r="G189" s="213"/>
      <c r="H189" s="41"/>
      <c r="Q189" s="95"/>
    </row>
    <row r="190" spans="1:17" s="79" customFormat="1">
      <c r="A190" s="43"/>
      <c r="B190" s="52"/>
      <c r="C190" s="207" t="s">
        <v>170</v>
      </c>
      <c r="D190" s="203"/>
      <c r="E190" s="235" t="s">
        <v>171</v>
      </c>
      <c r="F190" s="203"/>
      <c r="G190" s="208" t="s">
        <v>164</v>
      </c>
      <c r="H190" s="41"/>
      <c r="Q190" s="95"/>
    </row>
    <row r="191" spans="1:17" s="79" customFormat="1" ht="178.5">
      <c r="A191" s="43" t="s">
        <v>77</v>
      </c>
      <c r="B191" s="10" t="s">
        <v>205</v>
      </c>
      <c r="C191" s="41"/>
      <c r="D191" s="41"/>
      <c r="E191" s="231"/>
      <c r="F191" s="41"/>
      <c r="G191" s="97"/>
      <c r="H191" s="125"/>
      <c r="K191" s="10"/>
      <c r="Q191" s="82"/>
    </row>
    <row r="192" spans="1:17" s="79" customFormat="1">
      <c r="A192" s="43"/>
      <c r="B192" s="52"/>
      <c r="C192" s="41"/>
      <c r="D192" s="41"/>
      <c r="E192" s="231"/>
      <c r="F192" s="41"/>
      <c r="G192" s="97"/>
      <c r="H192" s="125"/>
      <c r="Q192" s="82"/>
    </row>
    <row r="193" spans="1:17" s="79" customFormat="1">
      <c r="A193" s="43"/>
      <c r="B193" s="52" t="s">
        <v>118</v>
      </c>
      <c r="C193" s="216">
        <f>C189</f>
        <v>1</v>
      </c>
      <c r="D193" s="41"/>
      <c r="E193" s="232"/>
      <c r="F193" s="41"/>
      <c r="G193" s="213"/>
      <c r="H193" s="41"/>
      <c r="Q193" s="95"/>
    </row>
    <row r="194" spans="1:17" s="5" customFormat="1">
      <c r="A194" s="6"/>
      <c r="B194" s="10"/>
      <c r="C194" s="4"/>
      <c r="D194" s="2"/>
      <c r="E194" s="231"/>
      <c r="F194" s="2"/>
      <c r="G194" s="105"/>
      <c r="H194" s="2"/>
      <c r="Q194" s="89"/>
    </row>
    <row r="195" spans="1:17" s="5" customFormat="1" ht="191.25">
      <c r="A195" s="6" t="s">
        <v>109</v>
      </c>
      <c r="B195" s="126" t="s">
        <v>167</v>
      </c>
      <c r="C195" s="2"/>
      <c r="D195" s="2"/>
      <c r="E195" s="231"/>
      <c r="F195" s="2"/>
      <c r="G195" s="105"/>
      <c r="H195" s="15"/>
      <c r="K195" s="10"/>
      <c r="Q195" s="89"/>
    </row>
    <row r="196" spans="1:17" s="5" customFormat="1">
      <c r="A196" s="6"/>
      <c r="B196" s="10"/>
      <c r="C196" s="2"/>
      <c r="D196" s="2"/>
      <c r="E196" s="231"/>
      <c r="F196" s="2"/>
      <c r="G196" s="105"/>
      <c r="H196" s="15"/>
      <c r="Q196" s="89"/>
    </row>
    <row r="197" spans="1:17" s="5" customFormat="1">
      <c r="A197" s="6"/>
      <c r="B197" s="10" t="s">
        <v>23</v>
      </c>
      <c r="C197" s="217">
        <v>9</v>
      </c>
      <c r="D197" s="2"/>
      <c r="E197" s="232"/>
      <c r="F197" s="2"/>
      <c r="G197" s="218"/>
      <c r="H197" s="2"/>
      <c r="J197" s="122"/>
      <c r="Q197" s="89"/>
    </row>
    <row r="198" spans="1:17">
      <c r="B198" s="52"/>
      <c r="E198" s="231"/>
      <c r="H198" s="61"/>
      <c r="I198" s="38"/>
      <c r="J198" s="38"/>
      <c r="M198" s="38"/>
      <c r="N198" s="38"/>
      <c r="O198" s="38"/>
    </row>
    <row r="199" spans="1:17" ht="40.5" customHeight="1">
      <c r="A199" s="43" t="s">
        <v>1</v>
      </c>
      <c r="B199" s="52" t="s">
        <v>104</v>
      </c>
      <c r="E199" s="231"/>
      <c r="H199" s="61"/>
    </row>
    <row r="200" spans="1:17">
      <c r="B200" s="52"/>
      <c r="E200" s="231"/>
      <c r="H200" s="61"/>
    </row>
    <row r="201" spans="1:17">
      <c r="B201" s="52" t="s">
        <v>23</v>
      </c>
      <c r="C201" s="214">
        <v>12</v>
      </c>
      <c r="E201" s="232"/>
      <c r="G201" s="213"/>
      <c r="H201" s="41"/>
      <c r="Q201" s="95"/>
    </row>
    <row r="202" spans="1:17">
      <c r="B202" s="52"/>
      <c r="E202" s="231"/>
      <c r="H202" s="41"/>
      <c r="Q202" s="95"/>
    </row>
    <row r="203" spans="1:17" ht="30.75" customHeight="1">
      <c r="A203" s="43" t="s">
        <v>105</v>
      </c>
      <c r="B203" s="52" t="s">
        <v>103</v>
      </c>
      <c r="E203" s="231"/>
      <c r="H203" s="61"/>
    </row>
    <row r="204" spans="1:17">
      <c r="B204" s="52"/>
      <c r="E204" s="231"/>
      <c r="H204" s="49"/>
    </row>
    <row r="205" spans="1:17">
      <c r="B205" s="52" t="s">
        <v>22</v>
      </c>
      <c r="C205" s="214">
        <v>285</v>
      </c>
      <c r="E205" s="230"/>
      <c r="G205" s="213"/>
      <c r="H205" s="41"/>
    </row>
    <row r="206" spans="1:17">
      <c r="B206" s="52"/>
      <c r="E206" s="231"/>
      <c r="H206" s="41"/>
      <c r="Q206" s="95"/>
    </row>
    <row r="207" spans="1:17" ht="42.75" customHeight="1">
      <c r="A207" s="43" t="s">
        <v>2</v>
      </c>
      <c r="B207" s="52" t="s">
        <v>102</v>
      </c>
      <c r="E207" s="231"/>
      <c r="H207" s="61"/>
    </row>
    <row r="208" spans="1:17">
      <c r="B208" s="52"/>
      <c r="E208" s="231"/>
      <c r="H208" s="49"/>
    </row>
    <row r="209" spans="1:17">
      <c r="B209" s="52" t="s">
        <v>22</v>
      </c>
      <c r="C209" s="214">
        <v>285</v>
      </c>
      <c r="E209" s="230"/>
      <c r="G209" s="213"/>
      <c r="H209" s="41"/>
    </row>
    <row r="210" spans="1:17">
      <c r="B210" s="52"/>
      <c r="C210" s="207" t="s">
        <v>170</v>
      </c>
      <c r="D210" s="203"/>
      <c r="E210" s="235" t="s">
        <v>171</v>
      </c>
      <c r="F210" s="203"/>
      <c r="G210" s="208" t="s">
        <v>164</v>
      </c>
      <c r="H210" s="41"/>
    </row>
    <row r="211" spans="1:17" ht="22.5" customHeight="1">
      <c r="A211" s="43" t="s">
        <v>110</v>
      </c>
      <c r="B211" s="52" t="s">
        <v>106</v>
      </c>
      <c r="E211" s="231"/>
      <c r="H211" s="61"/>
    </row>
    <row r="212" spans="1:17">
      <c r="B212" s="52"/>
      <c r="E212" s="231"/>
      <c r="H212" s="49"/>
    </row>
    <row r="213" spans="1:17">
      <c r="B213" s="52" t="s">
        <v>22</v>
      </c>
      <c r="C213" s="214">
        <v>285</v>
      </c>
      <c r="E213" s="230"/>
      <c r="G213" s="213"/>
      <c r="H213" s="41"/>
    </row>
    <row r="214" spans="1:17">
      <c r="B214" s="52"/>
      <c r="E214" s="231"/>
      <c r="H214" s="61"/>
    </row>
    <row r="215" spans="1:17" s="64" customFormat="1" ht="63.75">
      <c r="A215" s="43" t="s">
        <v>111</v>
      </c>
      <c r="B215" s="52" t="s">
        <v>9</v>
      </c>
      <c r="C215" s="41"/>
      <c r="D215" s="41"/>
      <c r="E215" s="231"/>
      <c r="F215" s="41"/>
      <c r="G215" s="97"/>
      <c r="H215" s="61"/>
      <c r="I215" s="62"/>
      <c r="J215" s="63"/>
      <c r="M215" s="65"/>
      <c r="N215" s="65"/>
      <c r="O215" s="65"/>
      <c r="Q215" s="82"/>
    </row>
    <row r="216" spans="1:17">
      <c r="B216" s="52"/>
      <c r="C216" s="59"/>
      <c r="D216" s="59"/>
      <c r="E216" s="233"/>
      <c r="F216" s="59"/>
      <c r="G216" s="104"/>
      <c r="H216" s="64"/>
      <c r="Q216" s="87"/>
    </row>
    <row r="217" spans="1:17">
      <c r="B217" s="52" t="s">
        <v>39</v>
      </c>
      <c r="E217" s="231"/>
      <c r="G217" s="213"/>
      <c r="H217" s="41"/>
      <c r="J217" s="97"/>
      <c r="K217" s="97"/>
    </row>
    <row r="218" spans="1:17">
      <c r="B218" s="52"/>
      <c r="E218" s="231"/>
      <c r="H218" s="61"/>
    </row>
    <row r="219" spans="1:17">
      <c r="B219" s="48" t="s">
        <v>24</v>
      </c>
      <c r="C219" s="56"/>
      <c r="D219" s="56"/>
      <c r="E219" s="239"/>
      <c r="F219" s="56"/>
      <c r="G219" s="209"/>
      <c r="Q219" s="86"/>
    </row>
    <row r="220" spans="1:17">
      <c r="B220" s="48"/>
      <c r="C220" s="56"/>
      <c r="D220" s="56"/>
      <c r="E220" s="239"/>
      <c r="F220" s="56"/>
      <c r="G220" s="100"/>
      <c r="Q220" s="86"/>
    </row>
    <row r="221" spans="1:17">
      <c r="A221" s="11" t="s">
        <v>0</v>
      </c>
      <c r="B221" s="9" t="s">
        <v>40</v>
      </c>
      <c r="C221" s="46"/>
      <c r="D221" s="7"/>
      <c r="E221" s="237"/>
      <c r="F221" s="7"/>
      <c r="G221" s="99"/>
      <c r="H221" s="41"/>
      <c r="Q221" s="91"/>
    </row>
    <row r="222" spans="1:17">
      <c r="E222" s="231"/>
      <c r="H222" s="61"/>
    </row>
    <row r="223" spans="1:17" ht="51">
      <c r="A223" s="43" t="s">
        <v>3</v>
      </c>
      <c r="B223" s="53" t="s">
        <v>72</v>
      </c>
      <c r="E223" s="231"/>
      <c r="H223" s="61"/>
    </row>
    <row r="224" spans="1:17">
      <c r="E224" s="231"/>
      <c r="H224" s="61"/>
    </row>
    <row r="225" spans="1:17">
      <c r="B225" s="52" t="s">
        <v>23</v>
      </c>
      <c r="C225" s="214">
        <v>3</v>
      </c>
      <c r="E225" s="230"/>
      <c r="G225" s="213"/>
      <c r="H225" s="41"/>
    </row>
    <row r="226" spans="1:17">
      <c r="H226" s="61"/>
    </row>
    <row r="227" spans="1:17">
      <c r="A227" s="47"/>
      <c r="B227" s="9" t="s">
        <v>44</v>
      </c>
      <c r="C227" s="56"/>
      <c r="D227" s="56"/>
      <c r="E227" s="112"/>
      <c r="F227" s="56"/>
      <c r="G227" s="209"/>
      <c r="Q227" s="86"/>
    </row>
    <row r="228" spans="1:17">
      <c r="H228" s="61"/>
    </row>
    <row r="229" spans="1:17">
      <c r="H229" s="61"/>
    </row>
  </sheetData>
  <sheetProtection selectLockedCells="1"/>
  <mergeCells count="2">
    <mergeCell ref="E23:G23"/>
    <mergeCell ref="E24:G24"/>
  </mergeCells>
  <conditionalFormatting sqref="G14:G18 C42:G66 C69:G93 C95:G97 C102:G117 C119:G121 C125:G137 C139:G149 C151:G153 C157:G173 C175:G177 C183:G189 C191:G209 C211:G213 C217:G219">
    <cfRule type="cellIs" dxfId="15" priority="4" stopIfTrue="1" operator="greaterThan">
      <formula>0</formula>
    </cfRule>
  </conditionalFormatting>
  <pageMargins left="1.1811023622047245" right="0.15748031496062992" top="0.59055118110236227" bottom="0.59055118110236227" header="0.39370078740157483" footer="0.39370078740157483"/>
  <pageSetup paperSize="9" orientation="portrait" useFirstPageNumber="1" r:id="rId1"/>
  <headerFooter alignWithMargins="0">
    <oddHeader>&amp;R&amp;"Arial,Navadno"&amp;9KANAL PV1</oddHeader>
    <oddFooter>&amp;C&amp;"Arial,Navadno"&amp;10&amp;P</oddFooter>
  </headerFooter>
  <rowBreaks count="9" manualBreakCount="9">
    <brk id="34" max="6" man="1"/>
    <brk id="66" max="6" man="1"/>
    <brk id="93" max="6" man="1"/>
    <brk id="117" max="6" man="1"/>
    <brk id="137" max="6" man="1"/>
    <brk id="149" max="6" man="1"/>
    <brk id="173" max="6" man="1"/>
    <brk id="189" max="6" man="1"/>
    <brk id="209"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237"/>
  <sheetViews>
    <sheetView view="pageBreakPreview" topLeftCell="A20" zoomScale="60" zoomScaleNormal="100" workbookViewId="0">
      <selection activeCell="E42" sqref="E42:E233"/>
    </sheetView>
  </sheetViews>
  <sheetFormatPr defaultColWidth="8.6640625" defaultRowHeight="15.75"/>
  <cols>
    <col min="1" max="1" width="6.5546875" style="43" customWidth="1"/>
    <col min="2" max="2" width="27.44140625" style="53" customWidth="1"/>
    <col min="3" max="3" width="7.44140625" style="41" customWidth="1"/>
    <col min="4" max="4" width="1.109375" style="41" customWidth="1"/>
    <col min="5" max="5" width="11.109375" style="107" customWidth="1"/>
    <col min="6" max="6" width="3.44140625" style="41" customWidth="1"/>
    <col min="7" max="7" width="14" style="97" customWidth="1"/>
    <col min="8" max="8" width="3.6640625" style="38" customWidth="1"/>
    <col min="9" max="9" width="14.88671875" style="36" customWidth="1"/>
    <col min="10" max="10" width="8.6640625" style="37" customWidth="1"/>
    <col min="11" max="11" width="25.5546875" style="38" customWidth="1"/>
    <col min="12" max="12" width="15.5546875" style="38" customWidth="1"/>
    <col min="13" max="15" width="8.6640625" style="39" customWidth="1"/>
    <col min="16" max="16" width="8.6640625" style="38" customWidth="1"/>
    <col min="17" max="17" width="11.109375" style="82" customWidth="1"/>
    <col min="18" max="16384" width="8.6640625" style="38"/>
  </cols>
  <sheetData>
    <row r="1" spans="1:17" s="79" customFormat="1" ht="15.95" customHeight="1">
      <c r="A1" s="34"/>
      <c r="B1" s="35" t="s">
        <v>11</v>
      </c>
      <c r="C1" s="1" t="s">
        <v>123</v>
      </c>
      <c r="D1" s="33"/>
      <c r="E1" s="33"/>
      <c r="F1" s="2"/>
      <c r="G1" s="96"/>
      <c r="H1" s="78"/>
      <c r="Q1" s="90"/>
    </row>
    <row r="2" spans="1:17" s="79" customFormat="1" ht="15.95" customHeight="1">
      <c r="A2" s="34"/>
      <c r="B2" s="35"/>
      <c r="C2" s="1" t="s">
        <v>124</v>
      </c>
      <c r="D2" s="33"/>
      <c r="E2" s="33"/>
      <c r="F2" s="2"/>
      <c r="G2" s="96"/>
      <c r="H2" s="78"/>
      <c r="Q2" s="90"/>
    </row>
    <row r="3" spans="1:17" s="79" customFormat="1" ht="15.95" customHeight="1">
      <c r="A3" s="34"/>
      <c r="B3" s="35" t="s">
        <v>8</v>
      </c>
      <c r="C3" s="40" t="s">
        <v>209</v>
      </c>
      <c r="D3" s="33"/>
      <c r="E3" s="106"/>
      <c r="F3" s="2"/>
      <c r="G3" s="96"/>
      <c r="H3" s="78"/>
      <c r="Q3" s="90"/>
    </row>
    <row r="4" spans="1:17" s="79" customFormat="1">
      <c r="A4" s="34"/>
      <c r="B4" s="35" t="s">
        <v>12</v>
      </c>
      <c r="C4" s="40" t="s">
        <v>207</v>
      </c>
      <c r="D4" s="41"/>
      <c r="E4" s="107"/>
      <c r="F4" s="41"/>
      <c r="G4" s="97"/>
      <c r="Q4" s="82"/>
    </row>
    <row r="5" spans="1:17" s="79" customFormat="1">
      <c r="A5" s="34"/>
      <c r="B5" s="35" t="s">
        <v>13</v>
      </c>
      <c r="C5" s="1" t="s">
        <v>172</v>
      </c>
      <c r="D5" s="33"/>
      <c r="E5" s="106"/>
      <c r="F5" s="2"/>
      <c r="G5" s="97"/>
      <c r="Q5" s="90"/>
    </row>
    <row r="6" spans="1:17">
      <c r="A6" s="34"/>
      <c r="B6" s="35"/>
      <c r="C6" s="42" t="s">
        <v>173</v>
      </c>
    </row>
    <row r="7" spans="1:17">
      <c r="A7" s="34"/>
      <c r="B7" s="35"/>
      <c r="C7" s="42"/>
    </row>
    <row r="9" spans="1:17" ht="18">
      <c r="A9" s="43" t="s">
        <v>14</v>
      </c>
      <c r="B9" s="44" t="s">
        <v>52</v>
      </c>
      <c r="C9" s="45"/>
      <c r="D9" s="45"/>
      <c r="E9" s="108"/>
      <c r="F9" s="45"/>
      <c r="G9" s="98"/>
      <c r="Q9" s="83"/>
    </row>
    <row r="10" spans="1:17">
      <c r="B10" s="45"/>
      <c r="C10" s="45"/>
      <c r="D10" s="45"/>
      <c r="E10" s="108"/>
      <c r="F10" s="45"/>
      <c r="G10" s="98"/>
      <c r="Q10" s="83"/>
    </row>
    <row r="12" spans="1:17" s="7" customFormat="1">
      <c r="A12" s="8" t="s">
        <v>15</v>
      </c>
      <c r="B12" s="9" t="s">
        <v>16</v>
      </c>
      <c r="C12" s="46"/>
      <c r="E12" s="109"/>
      <c r="G12" s="99"/>
      <c r="I12" s="26"/>
      <c r="J12" s="22"/>
      <c r="M12" s="30"/>
      <c r="N12" s="30"/>
      <c r="O12" s="30"/>
      <c r="Q12" s="91"/>
    </row>
    <row r="13" spans="1:17" s="7" customFormat="1">
      <c r="A13" s="8"/>
      <c r="B13" s="9"/>
      <c r="C13" s="46"/>
      <c r="E13" s="109"/>
      <c r="G13" s="99"/>
      <c r="I13" s="26"/>
      <c r="J13" s="22"/>
      <c r="M13" s="30"/>
      <c r="N13" s="30"/>
      <c r="O13" s="30"/>
      <c r="Q13" s="91"/>
    </row>
    <row r="14" spans="1:17" s="7" customFormat="1">
      <c r="A14" s="47" t="s">
        <v>27</v>
      </c>
      <c r="B14" s="48" t="s">
        <v>26</v>
      </c>
      <c r="C14" s="49"/>
      <c r="D14" s="49"/>
      <c r="E14" s="110"/>
      <c r="F14" s="49"/>
      <c r="G14" s="209"/>
      <c r="H14" s="80"/>
      <c r="I14" s="26"/>
      <c r="J14" s="22"/>
      <c r="K14" s="119"/>
      <c r="M14" s="30"/>
      <c r="N14" s="30"/>
      <c r="O14" s="30"/>
      <c r="Q14" s="84"/>
    </row>
    <row r="15" spans="1:17">
      <c r="A15" s="47" t="s">
        <v>32</v>
      </c>
      <c r="B15" s="48" t="s">
        <v>17</v>
      </c>
      <c r="C15" s="49"/>
      <c r="D15" s="49"/>
      <c r="E15" s="110"/>
      <c r="F15" s="49"/>
      <c r="G15" s="209"/>
      <c r="H15" s="80"/>
      <c r="K15" s="116"/>
      <c r="Q15" s="84"/>
    </row>
    <row r="16" spans="1:17">
      <c r="A16" s="47" t="s">
        <v>42</v>
      </c>
      <c r="B16" s="48" t="s">
        <v>18</v>
      </c>
      <c r="C16" s="49"/>
      <c r="D16" s="49"/>
      <c r="E16" s="110"/>
      <c r="F16" s="49"/>
      <c r="G16" s="209"/>
      <c r="H16" s="80"/>
      <c r="K16" s="116"/>
      <c r="Q16" s="84"/>
    </row>
    <row r="17" spans="1:17" s="79" customFormat="1" ht="31.5">
      <c r="A17" s="47" t="s">
        <v>0</v>
      </c>
      <c r="B17" s="48" t="s">
        <v>40</v>
      </c>
      <c r="C17" s="49"/>
      <c r="D17" s="49"/>
      <c r="E17" s="110"/>
      <c r="F17" s="49"/>
      <c r="G17" s="209"/>
      <c r="H17" s="80"/>
      <c r="Q17" s="84"/>
    </row>
    <row r="18" spans="1:17">
      <c r="A18" s="47"/>
      <c r="B18" s="48"/>
      <c r="C18" s="49"/>
      <c r="D18" s="49"/>
      <c r="E18" s="110"/>
      <c r="F18" s="49"/>
      <c r="G18" s="100"/>
      <c r="K18" s="116"/>
      <c r="Q18" s="84"/>
    </row>
    <row r="19" spans="1:17" ht="16.5" thickBot="1">
      <c r="A19" s="47"/>
      <c r="B19" s="50" t="s">
        <v>53</v>
      </c>
      <c r="C19" s="51"/>
      <c r="D19" s="51"/>
      <c r="E19" s="111"/>
      <c r="F19" s="51"/>
      <c r="G19" s="210"/>
      <c r="H19" s="80"/>
      <c r="K19" s="117"/>
      <c r="Q19" s="85"/>
    </row>
    <row r="23" spans="1:17" ht="15.95" customHeight="1">
      <c r="B23" s="53" t="s">
        <v>81</v>
      </c>
      <c r="E23" s="458" t="s">
        <v>143</v>
      </c>
      <c r="F23" s="458"/>
      <c r="G23" s="458"/>
    </row>
    <row r="24" spans="1:17" ht="84.75" customHeight="1">
      <c r="B24" s="53" t="s">
        <v>84</v>
      </c>
      <c r="E24" s="458" t="s">
        <v>241</v>
      </c>
      <c r="F24" s="458"/>
      <c r="G24" s="458"/>
    </row>
    <row r="26" spans="1:17">
      <c r="B26" s="53" t="s">
        <v>82</v>
      </c>
    </row>
    <row r="27" spans="1:17" ht="63.75">
      <c r="B27" s="53" t="s">
        <v>83</v>
      </c>
    </row>
    <row r="29" spans="1:17">
      <c r="K29" s="53"/>
    </row>
    <row r="30" spans="1:17">
      <c r="K30" s="53"/>
    </row>
    <row r="34" spans="1:17">
      <c r="B34" s="53" t="s">
        <v>166</v>
      </c>
    </row>
    <row r="35" spans="1:17" s="7" customFormat="1">
      <c r="A35" s="43"/>
      <c r="B35" s="53"/>
      <c r="C35" s="41"/>
      <c r="D35" s="41"/>
      <c r="E35" s="107"/>
      <c r="F35" s="41"/>
      <c r="G35" s="97"/>
      <c r="H35" s="38"/>
      <c r="I35" s="26"/>
      <c r="J35" s="22"/>
      <c r="M35" s="30"/>
      <c r="N35" s="30"/>
      <c r="O35" s="30"/>
      <c r="Q35" s="82"/>
    </row>
    <row r="36" spans="1:17">
      <c r="A36" s="11" t="s">
        <v>19</v>
      </c>
      <c r="B36" s="9" t="s">
        <v>16</v>
      </c>
      <c r="C36" s="46"/>
      <c r="D36" s="7"/>
      <c r="E36" s="109"/>
      <c r="F36" s="7"/>
      <c r="G36" s="99"/>
      <c r="H36" s="7"/>
      <c r="Q36" s="91"/>
    </row>
    <row r="37" spans="1:17" s="7" customFormat="1">
      <c r="A37" s="43"/>
      <c r="B37" s="55"/>
      <c r="C37" s="56"/>
      <c r="D37" s="56"/>
      <c r="E37" s="112"/>
      <c r="F37" s="56"/>
      <c r="G37" s="101"/>
      <c r="H37" s="38"/>
      <c r="I37" s="26"/>
      <c r="J37" s="22"/>
      <c r="M37" s="30"/>
      <c r="N37" s="30"/>
      <c r="O37" s="30"/>
      <c r="Q37" s="86"/>
    </row>
    <row r="38" spans="1:17" s="7" customFormat="1">
      <c r="A38" s="11" t="s">
        <v>27</v>
      </c>
      <c r="B38" s="9" t="s">
        <v>26</v>
      </c>
      <c r="C38" s="46"/>
      <c r="E38" s="109"/>
      <c r="G38" s="99"/>
      <c r="I38" s="26"/>
      <c r="J38" s="22"/>
      <c r="M38" s="30"/>
      <c r="N38" s="30"/>
      <c r="O38" s="30"/>
      <c r="Q38" s="91"/>
    </row>
    <row r="39" spans="1:17" s="7" customFormat="1">
      <c r="A39" s="8"/>
      <c r="B39" s="9"/>
      <c r="C39" s="207" t="s">
        <v>170</v>
      </c>
      <c r="D39" s="203"/>
      <c r="E39" s="208" t="s">
        <v>171</v>
      </c>
      <c r="F39" s="203"/>
      <c r="G39" s="208" t="s">
        <v>164</v>
      </c>
      <c r="I39" s="26"/>
      <c r="J39" s="22"/>
      <c r="M39" s="30"/>
      <c r="N39" s="30"/>
      <c r="O39" s="30"/>
      <c r="Q39" s="91"/>
    </row>
    <row r="40" spans="1:17" s="17" customFormat="1" ht="39">
      <c r="A40" s="12" t="s">
        <v>28</v>
      </c>
      <c r="B40" s="13" t="s">
        <v>139</v>
      </c>
      <c r="C40" s="46"/>
      <c r="D40" s="7"/>
      <c r="E40" s="109"/>
      <c r="F40" s="7"/>
      <c r="G40" s="99"/>
      <c r="H40" s="7"/>
      <c r="I40" s="27"/>
      <c r="J40" s="23"/>
      <c r="M40" s="31"/>
      <c r="N40" s="31"/>
      <c r="O40" s="31"/>
      <c r="Q40" s="91"/>
    </row>
    <row r="41" spans="1:17" s="7" customFormat="1">
      <c r="A41" s="18"/>
      <c r="B41" s="13"/>
      <c r="C41" s="57"/>
      <c r="D41" s="17"/>
      <c r="E41" s="113"/>
      <c r="F41" s="17"/>
      <c r="G41" s="102"/>
      <c r="H41" s="17"/>
      <c r="I41" s="26"/>
      <c r="J41" s="22"/>
      <c r="M41" s="30"/>
      <c r="N41" s="30"/>
      <c r="O41" s="30"/>
      <c r="Q41" s="92"/>
    </row>
    <row r="42" spans="1:17" s="7" customFormat="1">
      <c r="A42" s="8"/>
      <c r="B42" s="52" t="s">
        <v>22</v>
      </c>
      <c r="C42" s="214">
        <v>198</v>
      </c>
      <c r="D42" s="41"/>
      <c r="E42" s="230"/>
      <c r="F42" s="81"/>
      <c r="G42" s="213"/>
      <c r="H42" s="81"/>
      <c r="I42" s="26"/>
      <c r="J42" s="22"/>
      <c r="M42" s="30"/>
      <c r="N42" s="30"/>
      <c r="O42" s="30"/>
      <c r="Q42" s="82"/>
    </row>
    <row r="43" spans="1:17" s="7" customFormat="1">
      <c r="A43" s="8"/>
      <c r="B43" s="14"/>
      <c r="C43" s="46"/>
      <c r="E43" s="231"/>
      <c r="G43" s="99"/>
      <c r="I43" s="26"/>
      <c r="J43" s="22"/>
      <c r="M43" s="30"/>
      <c r="N43" s="30"/>
      <c r="O43" s="30"/>
      <c r="Q43" s="91"/>
    </row>
    <row r="44" spans="1:17" s="19" customFormat="1" ht="76.5">
      <c r="A44" s="12" t="s">
        <v>30</v>
      </c>
      <c r="B44" s="127" t="s">
        <v>140</v>
      </c>
      <c r="C44" s="46"/>
      <c r="D44" s="7"/>
      <c r="E44" s="231"/>
      <c r="F44" s="7"/>
      <c r="G44" s="99"/>
      <c r="H44" s="7"/>
      <c r="I44" s="28"/>
      <c r="J44" s="24"/>
      <c r="K44" s="52"/>
      <c r="M44" s="32"/>
      <c r="N44" s="32"/>
      <c r="O44" s="32"/>
      <c r="Q44" s="91"/>
    </row>
    <row r="45" spans="1:17" s="7" customFormat="1">
      <c r="A45" s="20"/>
      <c r="B45" s="52"/>
      <c r="C45" s="58"/>
      <c r="D45" s="19"/>
      <c r="E45" s="231"/>
      <c r="F45" s="19"/>
      <c r="G45" s="103"/>
      <c r="H45" s="19"/>
      <c r="I45" s="26"/>
      <c r="J45" s="22"/>
      <c r="M45" s="30"/>
      <c r="N45" s="30"/>
      <c r="O45" s="30"/>
      <c r="Q45" s="93"/>
    </row>
    <row r="46" spans="1:17" s="7" customFormat="1">
      <c r="A46" s="8"/>
      <c r="B46" s="52" t="s">
        <v>55</v>
      </c>
      <c r="C46" s="214">
        <v>1</v>
      </c>
      <c r="D46" s="41"/>
      <c r="E46" s="232"/>
      <c r="F46" s="81"/>
      <c r="G46" s="213"/>
      <c r="H46" s="81"/>
      <c r="I46" s="26"/>
      <c r="J46" s="22"/>
      <c r="M46" s="30"/>
      <c r="N46" s="30"/>
      <c r="O46" s="30"/>
      <c r="Q46" s="82"/>
    </row>
    <row r="47" spans="1:17" s="7" customFormat="1">
      <c r="A47" s="8"/>
      <c r="B47" s="52"/>
      <c r="C47" s="41"/>
      <c r="D47" s="41"/>
      <c r="E47" s="231"/>
      <c r="F47" s="41"/>
      <c r="G47" s="97"/>
      <c r="H47" s="41"/>
      <c r="I47" s="26"/>
      <c r="J47" s="22"/>
      <c r="M47" s="30"/>
      <c r="N47" s="30"/>
      <c r="O47" s="30"/>
      <c r="Q47" s="82"/>
    </row>
    <row r="48" spans="1:17" s="19" customFormat="1" ht="57" customHeight="1">
      <c r="A48" s="12" t="s">
        <v>31</v>
      </c>
      <c r="B48" s="52" t="s">
        <v>66</v>
      </c>
      <c r="C48" s="46"/>
      <c r="D48" s="7"/>
      <c r="E48" s="237"/>
      <c r="F48" s="7"/>
      <c r="G48" s="99"/>
      <c r="H48" s="7"/>
      <c r="I48" s="28"/>
      <c r="J48" s="24"/>
      <c r="M48" s="32"/>
      <c r="N48" s="32"/>
      <c r="O48" s="32"/>
      <c r="Q48" s="91"/>
    </row>
    <row r="49" spans="1:17" s="7" customFormat="1">
      <c r="A49" s="20"/>
      <c r="B49" s="52"/>
      <c r="C49" s="58"/>
      <c r="D49" s="19"/>
      <c r="E49" s="250"/>
      <c r="F49" s="19"/>
      <c r="G49" s="103"/>
      <c r="H49" s="19"/>
      <c r="I49" s="26"/>
      <c r="J49" s="22"/>
      <c r="M49" s="30"/>
      <c r="N49" s="30"/>
      <c r="O49" s="30"/>
      <c r="Q49" s="93"/>
    </row>
    <row r="50" spans="1:17" s="7" customFormat="1">
      <c r="A50" s="8"/>
      <c r="B50" s="52" t="s">
        <v>23</v>
      </c>
      <c r="C50" s="214">
        <v>6</v>
      </c>
      <c r="D50" s="41"/>
      <c r="E50" s="232"/>
      <c r="F50" s="81"/>
      <c r="G50" s="213"/>
      <c r="H50" s="81"/>
      <c r="I50" s="26"/>
      <c r="J50" s="22"/>
      <c r="M50" s="30"/>
      <c r="N50" s="30"/>
      <c r="O50" s="30"/>
      <c r="Q50" s="82"/>
    </row>
    <row r="51" spans="1:17" s="7" customFormat="1">
      <c r="A51" s="8"/>
      <c r="B51" s="52"/>
      <c r="C51" s="41"/>
      <c r="D51" s="41"/>
      <c r="E51" s="231"/>
      <c r="F51" s="41"/>
      <c r="G51" s="97"/>
      <c r="H51" s="41"/>
      <c r="I51" s="26"/>
      <c r="J51" s="22"/>
      <c r="M51" s="30"/>
      <c r="N51" s="30"/>
      <c r="O51" s="30"/>
      <c r="Q51" s="82"/>
    </row>
    <row r="52" spans="1:17" s="19" customFormat="1" ht="57.75" customHeight="1">
      <c r="A52" s="12" t="s">
        <v>56</v>
      </c>
      <c r="B52" s="52" t="s">
        <v>68</v>
      </c>
      <c r="C52" s="41"/>
      <c r="D52" s="41"/>
      <c r="E52" s="231"/>
      <c r="F52" s="41"/>
      <c r="G52" s="97"/>
      <c r="H52" s="7"/>
      <c r="I52" s="28"/>
      <c r="J52" s="24"/>
      <c r="M52" s="32"/>
      <c r="N52" s="32"/>
      <c r="O52" s="32"/>
      <c r="Q52" s="82"/>
    </row>
    <row r="53" spans="1:17" s="7" customFormat="1">
      <c r="A53" s="20"/>
      <c r="B53" s="52"/>
      <c r="C53" s="59"/>
      <c r="D53" s="59"/>
      <c r="E53" s="231"/>
      <c r="F53" s="59"/>
      <c r="G53" s="104"/>
      <c r="H53" s="19"/>
      <c r="I53" s="26"/>
      <c r="J53" s="22"/>
      <c r="M53" s="30"/>
      <c r="N53" s="30"/>
      <c r="O53" s="30"/>
      <c r="Q53" s="87"/>
    </row>
    <row r="54" spans="1:17" s="7" customFormat="1">
      <c r="A54" s="8"/>
      <c r="B54" s="52" t="s">
        <v>23</v>
      </c>
      <c r="C54" s="214">
        <f>INT(C42/20)+1</f>
        <v>10</v>
      </c>
      <c r="D54" s="41"/>
      <c r="E54" s="232"/>
      <c r="F54" s="81"/>
      <c r="G54" s="213"/>
      <c r="H54" s="81"/>
      <c r="I54" s="26"/>
      <c r="J54" s="22"/>
      <c r="M54" s="30"/>
      <c r="N54" s="30"/>
      <c r="O54" s="30"/>
      <c r="Q54" s="82"/>
    </row>
    <row r="55" spans="1:17" s="7" customFormat="1">
      <c r="A55" s="8"/>
      <c r="B55" s="52"/>
      <c r="C55" s="41"/>
      <c r="D55" s="41"/>
      <c r="E55" s="231"/>
      <c r="F55" s="41"/>
      <c r="G55" s="97"/>
      <c r="H55" s="41"/>
      <c r="I55" s="26"/>
      <c r="J55" s="22"/>
      <c r="M55" s="30"/>
      <c r="N55" s="30"/>
      <c r="O55" s="30"/>
      <c r="Q55" s="82"/>
    </row>
    <row r="56" spans="1:17" s="7" customFormat="1" ht="38.25">
      <c r="A56" s="12" t="s">
        <v>5</v>
      </c>
      <c r="B56" s="52" t="s">
        <v>6</v>
      </c>
      <c r="C56" s="41"/>
      <c r="D56" s="41"/>
      <c r="E56" s="231"/>
      <c r="F56" s="41"/>
      <c r="G56" s="97"/>
      <c r="I56" s="26"/>
      <c r="J56" s="22"/>
      <c r="M56" s="30"/>
      <c r="N56" s="30"/>
      <c r="O56" s="30"/>
      <c r="Q56" s="82"/>
    </row>
    <row r="57" spans="1:17" s="7" customFormat="1">
      <c r="A57" s="20"/>
      <c r="B57" s="52"/>
      <c r="C57" s="59"/>
      <c r="D57" s="59"/>
      <c r="E57" s="233"/>
      <c r="F57" s="59"/>
      <c r="G57" s="104"/>
      <c r="H57" s="19"/>
      <c r="I57" s="26"/>
      <c r="J57" s="22"/>
      <c r="M57" s="30"/>
      <c r="N57" s="30"/>
      <c r="O57" s="30"/>
      <c r="Q57" s="87"/>
    </row>
    <row r="58" spans="1:17" s="7" customFormat="1">
      <c r="A58" s="8"/>
      <c r="B58" s="52" t="s">
        <v>29</v>
      </c>
      <c r="C58" s="214">
        <v>1</v>
      </c>
      <c r="D58" s="41"/>
      <c r="E58" s="232"/>
      <c r="F58" s="81"/>
      <c r="G58" s="213"/>
      <c r="H58" s="81"/>
      <c r="I58" s="26"/>
      <c r="J58" s="22"/>
      <c r="M58" s="30"/>
      <c r="N58" s="30"/>
      <c r="O58" s="30"/>
      <c r="Q58" s="82"/>
    </row>
    <row r="59" spans="1:17" s="7" customFormat="1">
      <c r="A59" s="8"/>
      <c r="B59" s="52"/>
      <c r="C59" s="41"/>
      <c r="D59" s="41"/>
      <c r="E59" s="231"/>
      <c r="F59" s="41"/>
      <c r="G59" s="97"/>
      <c r="H59" s="41"/>
      <c r="I59" s="26"/>
      <c r="J59" s="22"/>
      <c r="M59" s="30"/>
      <c r="N59" s="30"/>
      <c r="O59" s="30"/>
      <c r="Q59" s="82"/>
    </row>
    <row r="60" spans="1:17" s="19" customFormat="1" ht="48" customHeight="1">
      <c r="A60" s="12" t="s">
        <v>75</v>
      </c>
      <c r="B60" s="52" t="s">
        <v>136</v>
      </c>
      <c r="C60" s="41"/>
      <c r="D60" s="41"/>
      <c r="E60" s="231"/>
      <c r="F60" s="41"/>
      <c r="G60" s="97"/>
      <c r="H60" s="7"/>
      <c r="I60" s="28"/>
      <c r="J60" s="24"/>
      <c r="M60" s="32"/>
      <c r="N60" s="32"/>
      <c r="O60" s="32"/>
      <c r="Q60" s="82"/>
    </row>
    <row r="61" spans="1:17" s="7" customFormat="1">
      <c r="A61" s="20"/>
      <c r="B61" s="52"/>
      <c r="C61" s="59"/>
      <c r="D61" s="59"/>
      <c r="E61" s="233"/>
      <c r="F61" s="59"/>
      <c r="G61" s="104"/>
      <c r="H61" s="19"/>
      <c r="I61" s="26"/>
      <c r="J61" s="22"/>
      <c r="M61" s="30"/>
      <c r="N61" s="30"/>
      <c r="O61" s="30"/>
      <c r="Q61" s="87"/>
    </row>
    <row r="62" spans="1:17" s="7" customFormat="1">
      <c r="A62" s="8"/>
      <c r="B62" s="52" t="s">
        <v>23</v>
      </c>
      <c r="C62" s="214">
        <v>1</v>
      </c>
      <c r="D62" s="41"/>
      <c r="E62" s="232"/>
      <c r="F62" s="81"/>
      <c r="G62" s="213"/>
      <c r="H62" s="81"/>
      <c r="I62" s="26"/>
      <c r="J62" s="22"/>
      <c r="M62" s="30"/>
      <c r="N62" s="30"/>
      <c r="O62" s="30"/>
      <c r="Q62" s="82"/>
    </row>
    <row r="63" spans="1:17" s="7" customFormat="1">
      <c r="A63" s="8"/>
      <c r="B63" s="52"/>
      <c r="C63" s="41"/>
      <c r="D63" s="41"/>
      <c r="E63" s="231"/>
      <c r="F63" s="81"/>
      <c r="G63" s="97"/>
      <c r="H63" s="81"/>
      <c r="I63" s="26"/>
      <c r="J63" s="22"/>
      <c r="M63" s="30"/>
      <c r="N63" s="30"/>
      <c r="O63" s="30"/>
      <c r="Q63" s="82"/>
    </row>
    <row r="64" spans="1:17" s="19" customFormat="1" ht="34.5" customHeight="1">
      <c r="A64" s="12" t="s">
        <v>137</v>
      </c>
      <c r="B64" s="52" t="s">
        <v>138</v>
      </c>
      <c r="C64" s="41"/>
      <c r="D64" s="41"/>
      <c r="E64" s="231"/>
      <c r="F64" s="41"/>
      <c r="G64" s="97"/>
      <c r="H64" s="7"/>
      <c r="I64" s="28"/>
      <c r="J64" s="24"/>
      <c r="M64" s="32"/>
      <c r="N64" s="32"/>
      <c r="O64" s="32"/>
      <c r="Q64" s="82"/>
    </row>
    <row r="65" spans="1:17" s="7" customFormat="1">
      <c r="A65" s="20"/>
      <c r="B65" s="52"/>
      <c r="C65" s="59"/>
      <c r="D65" s="59"/>
      <c r="E65" s="233"/>
      <c r="F65" s="59"/>
      <c r="G65" s="104"/>
      <c r="H65" s="19"/>
      <c r="I65" s="26"/>
      <c r="J65" s="22"/>
      <c r="M65" s="30"/>
      <c r="N65" s="30"/>
      <c r="O65" s="30"/>
      <c r="Q65" s="87"/>
    </row>
    <row r="66" spans="1:17" s="7" customFormat="1">
      <c r="A66" s="8"/>
      <c r="B66" s="52" t="s">
        <v>71</v>
      </c>
      <c r="C66" s="214">
        <v>198</v>
      </c>
      <c r="D66" s="41"/>
      <c r="E66" s="232"/>
      <c r="F66" s="81"/>
      <c r="G66" s="213"/>
      <c r="H66" s="81"/>
      <c r="I66" s="26"/>
      <c r="J66" s="22"/>
      <c r="M66" s="30"/>
      <c r="N66" s="30"/>
      <c r="O66" s="30"/>
      <c r="Q66" s="82"/>
    </row>
    <row r="67" spans="1:17" s="7" customFormat="1">
      <c r="A67" s="8"/>
      <c r="B67" s="52"/>
      <c r="C67" s="207" t="s">
        <v>170</v>
      </c>
      <c r="D67" s="203"/>
      <c r="E67" s="235" t="s">
        <v>171</v>
      </c>
      <c r="F67" s="203"/>
      <c r="G67" s="208" t="s">
        <v>164</v>
      </c>
      <c r="H67" s="41"/>
      <c r="I67" s="26"/>
      <c r="J67" s="22"/>
      <c r="M67" s="30"/>
      <c r="N67" s="30"/>
      <c r="O67" s="30"/>
      <c r="Q67" s="82"/>
    </row>
    <row r="68" spans="1:17" s="7" customFormat="1" ht="86.25" customHeight="1">
      <c r="A68" s="12" t="s">
        <v>54</v>
      </c>
      <c r="B68" s="52" t="s">
        <v>210</v>
      </c>
      <c r="C68" s="41"/>
      <c r="D68" s="41"/>
      <c r="E68" s="231"/>
      <c r="F68" s="41"/>
      <c r="G68" s="97"/>
      <c r="I68" s="26"/>
      <c r="J68" s="22"/>
      <c r="M68" s="30"/>
      <c r="N68" s="30"/>
      <c r="O68" s="30"/>
      <c r="Q68" s="82"/>
    </row>
    <row r="69" spans="1:17" s="7" customFormat="1" ht="44.25" customHeight="1">
      <c r="A69" s="8"/>
      <c r="B69" s="52" t="s">
        <v>116</v>
      </c>
      <c r="C69" s="214">
        <v>1</v>
      </c>
      <c r="D69" s="41"/>
      <c r="E69" s="232"/>
      <c r="F69" s="81"/>
      <c r="G69" s="213"/>
      <c r="H69" s="81"/>
      <c r="I69" s="26"/>
      <c r="J69" s="22"/>
      <c r="M69" s="30"/>
      <c r="N69" s="30"/>
      <c r="O69" s="30"/>
      <c r="Q69" s="82"/>
    </row>
    <row r="70" spans="1:17" s="7" customFormat="1" ht="15.95" customHeight="1">
      <c r="A70" s="8"/>
      <c r="B70" s="52"/>
      <c r="C70" s="41"/>
      <c r="D70" s="41"/>
      <c r="E70" s="231"/>
      <c r="F70" s="41"/>
      <c r="G70" s="97"/>
      <c r="I70" s="26"/>
      <c r="J70" s="22"/>
      <c r="M70" s="30"/>
      <c r="N70" s="30"/>
      <c r="O70" s="30"/>
      <c r="Q70" s="82"/>
    </row>
    <row r="71" spans="1:17" s="7" customFormat="1" ht="15.95" customHeight="1">
      <c r="A71" s="12" t="s">
        <v>61</v>
      </c>
      <c r="B71" s="52" t="s">
        <v>62</v>
      </c>
      <c r="C71" s="41"/>
      <c r="D71" s="41"/>
      <c r="E71" s="231"/>
      <c r="F71" s="41"/>
      <c r="G71" s="97"/>
      <c r="I71" s="26"/>
      <c r="J71" s="22"/>
      <c r="M71" s="30"/>
      <c r="N71" s="30"/>
      <c r="O71" s="30"/>
      <c r="Q71" s="82"/>
    </row>
    <row r="72" spans="1:17" s="7" customFormat="1" ht="15.95" customHeight="1">
      <c r="A72" s="20"/>
      <c r="B72" s="52"/>
      <c r="C72" s="59"/>
      <c r="D72" s="59"/>
      <c r="E72" s="233"/>
      <c r="F72" s="59"/>
      <c r="G72" s="104"/>
      <c r="H72" s="19"/>
      <c r="I72" s="26"/>
      <c r="J72" s="22"/>
      <c r="M72" s="30"/>
      <c r="N72" s="30"/>
      <c r="O72" s="30"/>
      <c r="Q72" s="87"/>
    </row>
    <row r="73" spans="1:17" s="7" customFormat="1" ht="15.95" customHeight="1">
      <c r="A73" s="8"/>
      <c r="B73" s="52" t="s">
        <v>41</v>
      </c>
      <c r="C73" s="214">
        <v>8</v>
      </c>
      <c r="D73" s="41"/>
      <c r="E73" s="232"/>
      <c r="F73" s="81"/>
      <c r="G73" s="213"/>
      <c r="H73" s="81"/>
      <c r="I73" s="26"/>
      <c r="J73" s="22"/>
      <c r="M73" s="30"/>
      <c r="N73" s="30"/>
      <c r="O73" s="30"/>
      <c r="Q73" s="82"/>
    </row>
    <row r="74" spans="1:17" s="7" customFormat="1" ht="15.95" customHeight="1">
      <c r="A74" s="8"/>
      <c r="B74" s="52"/>
      <c r="C74" s="41"/>
      <c r="D74" s="41"/>
      <c r="E74" s="231"/>
      <c r="F74" s="41"/>
      <c r="G74" s="97"/>
      <c r="H74" s="41"/>
      <c r="I74" s="26"/>
      <c r="J74" s="22"/>
      <c r="M74" s="30"/>
      <c r="N74" s="30"/>
      <c r="O74" s="30"/>
      <c r="Q74" s="82"/>
    </row>
    <row r="75" spans="1:17" s="7" customFormat="1" ht="89.25" customHeight="1">
      <c r="A75" s="12" t="s">
        <v>73</v>
      </c>
      <c r="B75" s="52" t="s">
        <v>135</v>
      </c>
      <c r="C75" s="41"/>
      <c r="D75" s="41"/>
      <c r="E75" s="231"/>
      <c r="F75" s="41"/>
      <c r="G75" s="97"/>
      <c r="I75" s="26"/>
      <c r="J75" s="22"/>
      <c r="M75" s="30"/>
      <c r="N75" s="30"/>
      <c r="O75" s="30"/>
      <c r="Q75" s="82"/>
    </row>
    <row r="76" spans="1:17" s="7" customFormat="1" ht="15.95" customHeight="1">
      <c r="A76" s="20"/>
      <c r="B76" s="52"/>
      <c r="C76" s="59"/>
      <c r="D76" s="59"/>
      <c r="E76" s="233"/>
      <c r="F76" s="59"/>
      <c r="G76" s="104"/>
      <c r="H76" s="19"/>
      <c r="I76" s="26"/>
      <c r="J76" s="22"/>
      <c r="M76" s="30"/>
      <c r="N76" s="30"/>
      <c r="O76" s="30"/>
      <c r="Q76" s="87"/>
    </row>
    <row r="77" spans="1:17" s="7" customFormat="1" ht="15.95" customHeight="1">
      <c r="A77" s="8"/>
      <c r="B77" s="52" t="s">
        <v>23</v>
      </c>
      <c r="C77" s="214">
        <v>1</v>
      </c>
      <c r="D77" s="41"/>
      <c r="E77" s="232"/>
      <c r="F77" s="81"/>
      <c r="G77" s="213"/>
      <c r="H77" s="81"/>
      <c r="I77" s="26"/>
      <c r="J77" s="22"/>
      <c r="M77" s="30"/>
      <c r="N77" s="30"/>
      <c r="O77" s="30"/>
      <c r="Q77" s="82"/>
    </row>
    <row r="78" spans="1:17" s="7" customFormat="1" ht="15.95" customHeight="1">
      <c r="A78" s="8"/>
      <c r="B78" s="52"/>
      <c r="C78" s="41"/>
      <c r="D78" s="41"/>
      <c r="E78" s="231"/>
      <c r="F78" s="41"/>
      <c r="G78" s="97"/>
      <c r="H78" s="41"/>
      <c r="I78" s="26"/>
      <c r="J78" s="22"/>
      <c r="M78" s="30"/>
      <c r="N78" s="30"/>
      <c r="O78" s="30"/>
      <c r="Q78" s="82"/>
    </row>
    <row r="79" spans="1:17" s="7" customFormat="1" ht="33.950000000000003" customHeight="1">
      <c r="A79" s="12" t="s">
        <v>74</v>
      </c>
      <c r="B79" s="52" t="s">
        <v>10</v>
      </c>
      <c r="C79" s="41"/>
      <c r="D79" s="41"/>
      <c r="E79" s="231"/>
      <c r="F79" s="41"/>
      <c r="G79" s="97"/>
      <c r="I79" s="26"/>
      <c r="J79" s="22"/>
      <c r="M79" s="30"/>
      <c r="N79" s="30"/>
      <c r="O79" s="30"/>
      <c r="Q79" s="82"/>
    </row>
    <row r="80" spans="1:17" s="7" customFormat="1" ht="15.95" customHeight="1">
      <c r="A80" s="20"/>
      <c r="B80" s="52"/>
      <c r="C80" s="59"/>
      <c r="D80" s="59"/>
      <c r="E80" s="233"/>
      <c r="F80" s="59"/>
      <c r="G80" s="104"/>
      <c r="H80" s="19"/>
      <c r="I80" s="26"/>
      <c r="J80" s="22"/>
      <c r="M80" s="30"/>
      <c r="N80" s="30"/>
      <c r="O80" s="30"/>
      <c r="Q80" s="87"/>
    </row>
    <row r="81" spans="1:17" s="7" customFormat="1" ht="15.95" customHeight="1">
      <c r="A81" s="8"/>
      <c r="B81" s="52" t="s">
        <v>23</v>
      </c>
      <c r="C81" s="214">
        <v>1</v>
      </c>
      <c r="D81" s="41"/>
      <c r="E81" s="232"/>
      <c r="F81" s="81"/>
      <c r="G81" s="213"/>
      <c r="H81" s="81"/>
      <c r="I81" s="26"/>
      <c r="J81" s="22"/>
      <c r="M81" s="30"/>
      <c r="N81" s="30"/>
      <c r="O81" s="30"/>
      <c r="Q81" s="82"/>
    </row>
    <row r="82" spans="1:17" s="7" customFormat="1" ht="15.95" customHeight="1">
      <c r="A82" s="8"/>
      <c r="B82" s="52"/>
      <c r="C82" s="41"/>
      <c r="D82" s="41"/>
      <c r="E82" s="231"/>
      <c r="F82" s="41"/>
      <c r="G82" s="97"/>
      <c r="I82" s="26"/>
      <c r="J82" s="22"/>
      <c r="M82" s="30"/>
      <c r="N82" s="30"/>
      <c r="O82" s="30"/>
      <c r="Q82" s="82"/>
    </row>
    <row r="83" spans="1:17" s="7" customFormat="1" ht="31.5">
      <c r="A83" s="11"/>
      <c r="B83" s="60" t="s">
        <v>43</v>
      </c>
      <c r="C83" s="49"/>
      <c r="D83" s="49"/>
      <c r="E83" s="236"/>
      <c r="F83" s="49"/>
      <c r="G83" s="209"/>
      <c r="H83" s="49"/>
      <c r="I83" s="118"/>
      <c r="J83" s="22"/>
      <c r="M83" s="30"/>
      <c r="N83" s="30"/>
      <c r="O83" s="30"/>
      <c r="Q83" s="84"/>
    </row>
    <row r="84" spans="1:17" s="7" customFormat="1">
      <c r="A84" s="11"/>
      <c r="B84" s="60"/>
      <c r="C84" s="49"/>
      <c r="D84" s="49"/>
      <c r="E84" s="236"/>
      <c r="F84" s="49"/>
      <c r="G84" s="100"/>
      <c r="H84" s="49"/>
      <c r="I84" s="26"/>
      <c r="J84" s="22"/>
      <c r="M84" s="30"/>
      <c r="N84" s="30"/>
      <c r="O84" s="30"/>
      <c r="Q84" s="84"/>
    </row>
    <row r="85" spans="1:17" s="7" customFormat="1">
      <c r="A85" s="11" t="s">
        <v>32</v>
      </c>
      <c r="B85" s="9" t="s">
        <v>17</v>
      </c>
      <c r="C85" s="46"/>
      <c r="E85" s="237"/>
      <c r="G85" s="99"/>
      <c r="I85" s="26"/>
      <c r="J85" s="22"/>
      <c r="M85" s="30"/>
      <c r="N85" s="30"/>
      <c r="O85" s="30"/>
      <c r="Q85" s="91"/>
    </row>
    <row r="86" spans="1:17">
      <c r="B86" s="52"/>
      <c r="E86" s="231"/>
      <c r="H86" s="61"/>
    </row>
    <row r="87" spans="1:17" ht="69" customHeight="1">
      <c r="A87" s="43" t="s">
        <v>34</v>
      </c>
      <c r="B87" s="52" t="s">
        <v>133</v>
      </c>
      <c r="E87" s="231"/>
      <c r="H87" s="61"/>
      <c r="J87" s="52"/>
    </row>
    <row r="88" spans="1:17">
      <c r="B88" s="52"/>
      <c r="E88" s="231"/>
      <c r="H88" s="61"/>
    </row>
    <row r="89" spans="1:17">
      <c r="B89" s="52" t="s">
        <v>25</v>
      </c>
      <c r="C89" s="214">
        <f>41.4/0.09</f>
        <v>460</v>
      </c>
      <c r="E89" s="232"/>
      <c r="F89" s="81"/>
      <c r="G89" s="213"/>
      <c r="H89" s="81"/>
    </row>
    <row r="90" spans="1:17">
      <c r="B90" s="52"/>
      <c r="E90" s="231"/>
      <c r="H90" s="61"/>
    </row>
    <row r="91" spans="1:17" ht="65.25">
      <c r="A91" s="43" t="s">
        <v>35</v>
      </c>
      <c r="B91" s="52" t="s">
        <v>87</v>
      </c>
      <c r="E91" s="231"/>
      <c r="H91" s="61"/>
    </row>
    <row r="92" spans="1:17">
      <c r="B92" s="52"/>
      <c r="E92" s="231"/>
      <c r="H92" s="61"/>
    </row>
    <row r="93" spans="1:17">
      <c r="B93" s="52" t="s">
        <v>20</v>
      </c>
      <c r="C93" s="214">
        <f>C50*0.8</f>
        <v>4.8000000000000007</v>
      </c>
      <c r="E93" s="232"/>
      <c r="F93" s="81"/>
      <c r="G93" s="213"/>
      <c r="H93" s="81"/>
      <c r="J93" s="36"/>
    </row>
    <row r="94" spans="1:17">
      <c r="B94" s="52"/>
      <c r="E94" s="231"/>
      <c r="H94" s="41"/>
      <c r="J94" s="36"/>
    </row>
    <row r="95" spans="1:17">
      <c r="B95" s="52"/>
      <c r="C95" s="207" t="s">
        <v>170</v>
      </c>
      <c r="D95" s="203"/>
      <c r="E95" s="235" t="s">
        <v>171</v>
      </c>
      <c r="F95" s="203"/>
      <c r="G95" s="208" t="s">
        <v>164</v>
      </c>
      <c r="H95" s="61"/>
    </row>
    <row r="96" spans="1:17" ht="69" customHeight="1">
      <c r="A96" s="43" t="s">
        <v>36</v>
      </c>
      <c r="B96" s="52" t="s">
        <v>88</v>
      </c>
      <c r="E96" s="231"/>
      <c r="H96" s="61"/>
    </row>
    <row r="97" spans="1:17">
      <c r="B97" s="52"/>
      <c r="E97" s="231"/>
      <c r="H97" s="61"/>
    </row>
    <row r="98" spans="1:17" ht="25.5">
      <c r="B98" s="52" t="s">
        <v>141</v>
      </c>
      <c r="E98" s="231"/>
      <c r="H98" s="61"/>
    </row>
    <row r="99" spans="1:17">
      <c r="B99" s="52" t="s">
        <v>20</v>
      </c>
      <c r="C99" s="214">
        <f>584.93*0.8</f>
        <v>467.94399999999996</v>
      </c>
      <c r="E99" s="230"/>
      <c r="F99" s="81"/>
      <c r="G99" s="213"/>
      <c r="H99" s="81"/>
    </row>
    <row r="100" spans="1:17">
      <c r="B100" s="52"/>
      <c r="E100" s="231"/>
      <c r="H100" s="41"/>
      <c r="J100" s="36"/>
    </row>
    <row r="101" spans="1:17">
      <c r="B101" s="52" t="s">
        <v>142</v>
      </c>
      <c r="E101" s="231"/>
      <c r="H101" s="61"/>
    </row>
    <row r="102" spans="1:17">
      <c r="B102" s="52" t="s">
        <v>20</v>
      </c>
      <c r="C102" s="214">
        <f>584.93*0.2</f>
        <v>116.98599999999999</v>
      </c>
      <c r="E102" s="232"/>
      <c r="F102" s="81"/>
      <c r="G102" s="213"/>
      <c r="H102" s="81"/>
    </row>
    <row r="103" spans="1:17">
      <c r="B103" s="52"/>
      <c r="E103" s="231"/>
      <c r="H103" s="61"/>
    </row>
    <row r="104" spans="1:17" ht="67.5" customHeight="1">
      <c r="A104" s="43" t="s">
        <v>37</v>
      </c>
      <c r="B104" s="52" t="s">
        <v>89</v>
      </c>
      <c r="E104" s="231"/>
      <c r="H104" s="61"/>
    </row>
    <row r="105" spans="1:17">
      <c r="B105" s="52"/>
      <c r="E105" s="231"/>
      <c r="H105" s="61"/>
    </row>
    <row r="106" spans="1:17" ht="25.5">
      <c r="B106" s="52" t="s">
        <v>141</v>
      </c>
      <c r="E106" s="231"/>
      <c r="H106" s="61"/>
    </row>
    <row r="107" spans="1:17">
      <c r="B107" s="52" t="s">
        <v>20</v>
      </c>
      <c r="C107" s="214">
        <f>61.76*0.8</f>
        <v>49.408000000000001</v>
      </c>
      <c r="E107" s="238"/>
      <c r="F107" s="81"/>
      <c r="G107" s="213"/>
      <c r="H107" s="81"/>
    </row>
    <row r="108" spans="1:17">
      <c r="B108" s="52"/>
      <c r="E108" s="231"/>
      <c r="H108" s="41"/>
      <c r="J108" s="36"/>
    </row>
    <row r="109" spans="1:17">
      <c r="B109" s="52" t="s">
        <v>142</v>
      </c>
      <c r="E109" s="231"/>
      <c r="H109" s="61"/>
    </row>
    <row r="110" spans="1:17">
      <c r="B110" s="52" t="s">
        <v>20</v>
      </c>
      <c r="C110" s="214">
        <f>61.76*0.2</f>
        <v>12.352</v>
      </c>
      <c r="E110" s="230"/>
      <c r="F110" s="81"/>
      <c r="G110" s="213"/>
      <c r="H110" s="81"/>
    </row>
    <row r="111" spans="1:17" s="68" customFormat="1">
      <c r="A111" s="69"/>
      <c r="B111" s="70"/>
      <c r="C111" s="66"/>
      <c r="D111" s="66"/>
      <c r="E111" s="231"/>
      <c r="F111" s="66"/>
      <c r="G111" s="97"/>
      <c r="H111" s="67"/>
      <c r="Q111" s="88"/>
    </row>
    <row r="112" spans="1:17" s="64" customFormat="1" ht="42" customHeight="1">
      <c r="A112" s="43" t="s">
        <v>45</v>
      </c>
      <c r="B112" s="52" t="s">
        <v>38</v>
      </c>
      <c r="C112" s="41"/>
      <c r="D112" s="41"/>
      <c r="E112" s="231"/>
      <c r="F112" s="41"/>
      <c r="G112" s="97"/>
      <c r="H112" s="61"/>
      <c r="I112" s="62"/>
      <c r="J112" s="63"/>
      <c r="M112" s="65"/>
      <c r="N112" s="65"/>
      <c r="O112" s="65"/>
      <c r="Q112" s="82"/>
    </row>
    <row r="113" spans="1:17">
      <c r="B113" s="52"/>
      <c r="C113" s="59"/>
      <c r="D113" s="59"/>
      <c r="E113" s="231"/>
      <c r="F113" s="59"/>
      <c r="G113" s="104"/>
      <c r="H113" s="64"/>
      <c r="Q113" s="87"/>
    </row>
    <row r="114" spans="1:17">
      <c r="B114" s="52" t="s">
        <v>25</v>
      </c>
      <c r="C114" s="214">
        <f>C42*0.75</f>
        <v>148.5</v>
      </c>
      <c r="E114" s="232"/>
      <c r="G114" s="213"/>
      <c r="H114" s="41"/>
    </row>
    <row r="115" spans="1:17">
      <c r="B115" s="52"/>
      <c r="E115" s="231"/>
      <c r="H115" s="61"/>
    </row>
    <row r="116" spans="1:17" s="64" customFormat="1" ht="140.25">
      <c r="A116" s="43" t="s">
        <v>46</v>
      </c>
      <c r="B116" s="52" t="s">
        <v>90</v>
      </c>
      <c r="C116" s="41"/>
      <c r="D116" s="41"/>
      <c r="E116" s="231"/>
      <c r="F116" s="41"/>
      <c r="G116" s="97"/>
      <c r="H116" s="61"/>
      <c r="I116" s="62"/>
      <c r="J116" s="63"/>
      <c r="M116" s="65"/>
      <c r="N116" s="65"/>
      <c r="O116" s="65"/>
      <c r="Q116" s="82"/>
    </row>
    <row r="117" spans="1:17">
      <c r="A117" s="71"/>
      <c r="B117" s="52"/>
      <c r="C117" s="59"/>
      <c r="D117" s="59"/>
      <c r="E117" s="231"/>
      <c r="F117" s="59"/>
      <c r="G117" s="104"/>
      <c r="H117" s="64"/>
      <c r="Q117" s="87"/>
    </row>
    <row r="118" spans="1:17">
      <c r="B118" s="52" t="s">
        <v>20</v>
      </c>
      <c r="C118" s="214">
        <v>28.7</v>
      </c>
      <c r="E118" s="232"/>
      <c r="G118" s="213"/>
      <c r="H118" s="41"/>
    </row>
    <row r="119" spans="1:17">
      <c r="B119" s="52"/>
      <c r="C119" s="207" t="s">
        <v>170</v>
      </c>
      <c r="D119" s="203"/>
      <c r="E119" s="235" t="s">
        <v>171</v>
      </c>
      <c r="F119" s="203"/>
      <c r="G119" s="208" t="s">
        <v>164</v>
      </c>
      <c r="H119" s="61"/>
    </row>
    <row r="120" spans="1:17" s="64" customFormat="1" ht="114.75">
      <c r="A120" s="43" t="s">
        <v>47</v>
      </c>
      <c r="B120" s="52" t="s">
        <v>132</v>
      </c>
      <c r="C120" s="41"/>
      <c r="D120" s="41"/>
      <c r="E120" s="231"/>
      <c r="F120" s="41"/>
      <c r="G120" s="97"/>
      <c r="H120" s="61"/>
      <c r="I120" s="62"/>
      <c r="J120" s="63"/>
      <c r="M120" s="65"/>
      <c r="N120" s="65"/>
      <c r="O120" s="65"/>
      <c r="Q120" s="82"/>
    </row>
    <row r="121" spans="1:17">
      <c r="A121" s="71"/>
      <c r="B121" s="52"/>
      <c r="C121" s="59"/>
      <c r="D121" s="59"/>
      <c r="E121" s="231"/>
      <c r="F121" s="59"/>
      <c r="G121" s="104"/>
      <c r="H121" s="64"/>
      <c r="Q121" s="87"/>
    </row>
    <row r="122" spans="1:17">
      <c r="B122" s="52" t="s">
        <v>20</v>
      </c>
      <c r="C122" s="214">
        <v>98.4</v>
      </c>
      <c r="E122" s="232"/>
      <c r="G122" s="213"/>
      <c r="H122" s="41"/>
    </row>
    <row r="123" spans="1:17">
      <c r="B123" s="52"/>
      <c r="E123" s="231"/>
      <c r="H123" s="61"/>
    </row>
    <row r="124" spans="1:17" ht="89.25">
      <c r="A124" s="43" t="s">
        <v>48</v>
      </c>
      <c r="B124" s="52" t="s">
        <v>91</v>
      </c>
      <c r="E124" s="231"/>
      <c r="H124" s="61"/>
    </row>
    <row r="125" spans="1:17">
      <c r="A125" s="71"/>
      <c r="B125" s="52"/>
      <c r="E125" s="231"/>
      <c r="H125" s="61"/>
    </row>
    <row r="126" spans="1:17">
      <c r="B126" s="52" t="s">
        <v>20</v>
      </c>
      <c r="C126" s="214">
        <f>421.02*1</f>
        <v>421.02</v>
      </c>
      <c r="E126" s="232"/>
      <c r="G126" s="213"/>
      <c r="H126" s="41"/>
    </row>
    <row r="127" spans="1:17">
      <c r="B127" s="52"/>
      <c r="E127" s="231"/>
      <c r="H127" s="61"/>
      <c r="I127" s="38"/>
      <c r="J127" s="38"/>
      <c r="M127" s="38"/>
      <c r="N127" s="38"/>
      <c r="O127" s="38"/>
    </row>
    <row r="128" spans="1:17" ht="114.75">
      <c r="A128" s="43" t="s">
        <v>50</v>
      </c>
      <c r="B128" s="52" t="s">
        <v>177</v>
      </c>
      <c r="E128" s="231"/>
      <c r="H128" s="61"/>
      <c r="K128" s="52"/>
    </row>
    <row r="129" spans="1:8">
      <c r="A129" s="71"/>
      <c r="B129" s="52"/>
      <c r="E129" s="231"/>
      <c r="H129" s="61"/>
    </row>
    <row r="130" spans="1:8">
      <c r="B130" s="52" t="s">
        <v>20</v>
      </c>
      <c r="C130" s="214">
        <v>87.75</v>
      </c>
      <c r="E130" s="232"/>
      <c r="G130" s="213"/>
      <c r="H130" s="41"/>
    </row>
    <row r="131" spans="1:8">
      <c r="B131" s="52"/>
      <c r="C131" s="207" t="s">
        <v>170</v>
      </c>
      <c r="D131" s="203"/>
      <c r="E131" s="235" t="s">
        <v>171</v>
      </c>
      <c r="F131" s="203"/>
      <c r="G131" s="208" t="s">
        <v>164</v>
      </c>
      <c r="H131" s="61"/>
    </row>
    <row r="132" spans="1:8" ht="328.5" customHeight="1">
      <c r="A132" s="43" t="s">
        <v>51</v>
      </c>
      <c r="B132" s="16" t="s">
        <v>168</v>
      </c>
      <c r="E132" s="231"/>
      <c r="H132" s="61"/>
    </row>
    <row r="133" spans="1:8">
      <c r="A133" s="71"/>
      <c r="B133" s="72"/>
      <c r="E133" s="231"/>
      <c r="H133" s="61"/>
    </row>
    <row r="134" spans="1:8">
      <c r="B134" s="52" t="s">
        <v>25</v>
      </c>
      <c r="C134" s="214">
        <f>C89</f>
        <v>460</v>
      </c>
      <c r="E134" s="230"/>
      <c r="G134" s="213"/>
      <c r="H134" s="41"/>
    </row>
    <row r="135" spans="1:8">
      <c r="B135" s="52"/>
      <c r="E135" s="231"/>
      <c r="H135" s="41"/>
    </row>
    <row r="136" spans="1:8" ht="55.7" customHeight="1">
      <c r="A136" s="43" t="s">
        <v>67</v>
      </c>
      <c r="B136" s="16" t="s">
        <v>249</v>
      </c>
      <c r="E136" s="231"/>
      <c r="H136" s="61"/>
    </row>
    <row r="137" spans="1:8">
      <c r="A137" s="71"/>
      <c r="B137" s="72"/>
      <c r="E137" s="231"/>
      <c r="H137" s="61"/>
    </row>
    <row r="138" spans="1:8">
      <c r="B138" s="52" t="s">
        <v>25</v>
      </c>
      <c r="C138" s="41">
        <v>163</v>
      </c>
      <c r="E138" s="232"/>
      <c r="G138" s="213"/>
      <c r="H138" s="41"/>
    </row>
    <row r="139" spans="1:8">
      <c r="B139" s="52"/>
      <c r="E139" s="231"/>
      <c r="H139" s="61"/>
    </row>
    <row r="140" spans="1:8" ht="116.25">
      <c r="A140" s="43" t="s">
        <v>57</v>
      </c>
      <c r="B140" s="52" t="s">
        <v>96</v>
      </c>
      <c r="E140" s="231"/>
      <c r="H140" s="61"/>
    </row>
    <row r="141" spans="1:8">
      <c r="B141" s="52"/>
      <c r="E141" s="231"/>
      <c r="H141" s="61"/>
    </row>
    <row r="142" spans="1:8">
      <c r="B142" s="52" t="s">
        <v>20</v>
      </c>
      <c r="C142" s="214">
        <f>(646.69)*1.3</f>
        <v>840.69700000000012</v>
      </c>
      <c r="E142" s="232"/>
      <c r="G142" s="213"/>
      <c r="H142" s="41"/>
    </row>
    <row r="143" spans="1:8">
      <c r="B143" s="52"/>
      <c r="E143" s="231"/>
      <c r="H143" s="61"/>
    </row>
    <row r="144" spans="1:8">
      <c r="B144" s="52"/>
      <c r="C144" s="207" t="s">
        <v>170</v>
      </c>
      <c r="D144" s="203"/>
      <c r="E144" s="235" t="s">
        <v>171</v>
      </c>
      <c r="F144" s="203"/>
      <c r="G144" s="208" t="s">
        <v>164</v>
      </c>
      <c r="H144" s="61"/>
    </row>
    <row r="145" spans="1:17" ht="55.7" customHeight="1">
      <c r="A145" s="43" t="s">
        <v>64</v>
      </c>
      <c r="B145" s="52" t="s">
        <v>97</v>
      </c>
      <c r="E145" s="231"/>
      <c r="H145" s="61"/>
    </row>
    <row r="146" spans="1:17">
      <c r="B146" s="52"/>
      <c r="E146" s="231"/>
      <c r="H146" s="61"/>
    </row>
    <row r="147" spans="1:17">
      <c r="B147" s="52" t="s">
        <v>41</v>
      </c>
      <c r="C147" s="214">
        <v>2</v>
      </c>
      <c r="E147" s="232"/>
      <c r="G147" s="213"/>
      <c r="H147" s="41"/>
    </row>
    <row r="148" spans="1:17">
      <c r="B148" s="52"/>
      <c r="E148" s="231"/>
      <c r="H148" s="61"/>
    </row>
    <row r="149" spans="1:17" s="64" customFormat="1" ht="63.75">
      <c r="A149" s="43" t="s">
        <v>65</v>
      </c>
      <c r="B149" s="52" t="s">
        <v>7</v>
      </c>
      <c r="C149" s="41"/>
      <c r="D149" s="41"/>
      <c r="E149" s="231"/>
      <c r="F149" s="41"/>
      <c r="G149" s="97"/>
      <c r="H149" s="61"/>
      <c r="I149" s="62"/>
      <c r="J149" s="63"/>
      <c r="M149" s="65"/>
      <c r="N149" s="65"/>
      <c r="O149" s="65"/>
      <c r="Q149" s="82"/>
    </row>
    <row r="150" spans="1:17">
      <c r="B150" s="52"/>
      <c r="C150" s="59"/>
      <c r="D150" s="59"/>
      <c r="E150" s="233"/>
      <c r="F150" s="59"/>
      <c r="G150" s="104"/>
      <c r="H150" s="64"/>
      <c r="Q150" s="87"/>
    </row>
    <row r="151" spans="1:17">
      <c r="B151" s="52" t="s">
        <v>39</v>
      </c>
      <c r="E151" s="231"/>
      <c r="G151" s="213"/>
      <c r="H151" s="41"/>
    </row>
    <row r="152" spans="1:17">
      <c r="B152" s="52"/>
      <c r="E152" s="231"/>
      <c r="H152" s="61"/>
    </row>
    <row r="153" spans="1:17" s="7" customFormat="1">
      <c r="A153" s="43"/>
      <c r="B153" s="60" t="s">
        <v>21</v>
      </c>
      <c r="C153" s="56"/>
      <c r="D153" s="56"/>
      <c r="E153" s="239"/>
      <c r="F153" s="56"/>
      <c r="G153" s="209"/>
      <c r="H153" s="49"/>
      <c r="I153" s="26"/>
      <c r="J153" s="22"/>
      <c r="M153" s="30"/>
      <c r="N153" s="30"/>
      <c r="O153" s="30"/>
      <c r="Q153" s="86"/>
    </row>
    <row r="154" spans="1:17" ht="15.95" customHeight="1">
      <c r="A154" s="47"/>
      <c r="B154" s="9"/>
      <c r="C154" s="56"/>
      <c r="D154" s="56"/>
      <c r="E154" s="239"/>
      <c r="F154" s="56"/>
      <c r="G154" s="100"/>
      <c r="Q154" s="86"/>
    </row>
    <row r="155" spans="1:17">
      <c r="A155" s="11" t="s">
        <v>42</v>
      </c>
      <c r="B155" s="9" t="s">
        <v>18</v>
      </c>
      <c r="C155" s="46"/>
      <c r="D155" s="7"/>
      <c r="E155" s="237"/>
      <c r="F155" s="7"/>
      <c r="G155" s="99"/>
      <c r="H155" s="7"/>
      <c r="Q155" s="91"/>
    </row>
    <row r="156" spans="1:17">
      <c r="A156" s="11"/>
      <c r="B156" s="9"/>
      <c r="C156" s="46"/>
      <c r="D156" s="7"/>
      <c r="E156" s="237"/>
      <c r="F156" s="7"/>
      <c r="G156" s="99"/>
      <c r="H156" s="7"/>
      <c r="Q156" s="91"/>
    </row>
    <row r="157" spans="1:17" ht="43.5" customHeight="1">
      <c r="A157" s="43" t="s">
        <v>112</v>
      </c>
      <c r="B157" s="73" t="s">
        <v>98</v>
      </c>
      <c r="E157" s="231"/>
      <c r="H157" s="61"/>
    </row>
    <row r="158" spans="1:17">
      <c r="B158" s="52"/>
      <c r="E158" s="231"/>
      <c r="H158" s="61"/>
    </row>
    <row r="159" spans="1:17">
      <c r="B159" s="52" t="s">
        <v>22</v>
      </c>
      <c r="C159" s="214">
        <v>197</v>
      </c>
      <c r="E159" s="232"/>
      <c r="G159" s="213"/>
      <c r="H159" s="41"/>
    </row>
    <row r="160" spans="1:17">
      <c r="B160" s="52"/>
      <c r="C160" s="120"/>
      <c r="E160" s="231"/>
      <c r="H160" s="41"/>
    </row>
    <row r="161" spans="1:17" ht="97.5" customHeight="1">
      <c r="A161" s="43" t="s">
        <v>78</v>
      </c>
      <c r="B161" s="73" t="s">
        <v>99</v>
      </c>
      <c r="E161" s="231"/>
      <c r="H161" s="61"/>
    </row>
    <row r="162" spans="1:17">
      <c r="B162" s="52"/>
      <c r="E162" s="231"/>
      <c r="H162" s="61"/>
    </row>
    <row r="163" spans="1:17">
      <c r="B163" s="52" t="s">
        <v>22</v>
      </c>
      <c r="C163" s="214">
        <v>197</v>
      </c>
      <c r="E163" s="230"/>
      <c r="G163" s="213"/>
      <c r="H163" s="41"/>
    </row>
    <row r="164" spans="1:17" s="79" customFormat="1">
      <c r="A164" s="43"/>
      <c r="B164" s="52"/>
      <c r="C164" s="124"/>
      <c r="D164" s="41"/>
      <c r="E164" s="231"/>
      <c r="F164" s="41"/>
      <c r="G164" s="97"/>
      <c r="H164" s="41"/>
      <c r="Q164" s="95"/>
    </row>
    <row r="165" spans="1:17" s="79" customFormat="1" ht="114" customHeight="1">
      <c r="A165" s="43" t="s">
        <v>101</v>
      </c>
      <c r="B165" s="10" t="s">
        <v>195</v>
      </c>
      <c r="C165" s="41"/>
      <c r="D165" s="41"/>
      <c r="E165" s="231"/>
      <c r="F165" s="41"/>
      <c r="G165" s="97"/>
      <c r="H165" s="125"/>
      <c r="K165" s="10"/>
      <c r="Q165" s="82"/>
    </row>
    <row r="166" spans="1:17" s="79" customFormat="1">
      <c r="A166" s="43"/>
      <c r="B166" s="10"/>
      <c r="C166" s="41"/>
      <c r="D166" s="41"/>
      <c r="E166" s="231"/>
      <c r="F166" s="41"/>
      <c r="G166" s="97"/>
      <c r="H166" s="125"/>
      <c r="K166" s="10"/>
      <c r="Q166" s="82"/>
    </row>
    <row r="167" spans="1:17" s="79" customFormat="1">
      <c r="A167" s="43"/>
      <c r="B167" s="52" t="s">
        <v>117</v>
      </c>
      <c r="C167" s="216">
        <v>6</v>
      </c>
      <c r="D167" s="41"/>
      <c r="E167" s="232"/>
      <c r="F167" s="41"/>
      <c r="G167" s="213"/>
      <c r="H167" s="41"/>
      <c r="Q167" s="95"/>
    </row>
    <row r="168" spans="1:17" s="79" customFormat="1">
      <c r="A168" s="43"/>
      <c r="B168" s="52" t="s">
        <v>118</v>
      </c>
      <c r="C168" s="216">
        <v>2</v>
      </c>
      <c r="D168" s="41"/>
      <c r="E168" s="232"/>
      <c r="F168" s="41"/>
      <c r="G168" s="213"/>
      <c r="H168" s="41"/>
      <c r="Q168" s="95"/>
    </row>
    <row r="169" spans="1:17" s="79" customFormat="1">
      <c r="A169" s="43"/>
      <c r="B169" s="52" t="s">
        <v>119</v>
      </c>
      <c r="C169" s="216">
        <v>1</v>
      </c>
      <c r="D169" s="41"/>
      <c r="E169" s="232"/>
      <c r="F169" s="41"/>
      <c r="G169" s="213"/>
      <c r="H169" s="41"/>
      <c r="Q169" s="95"/>
    </row>
    <row r="170" spans="1:17" s="79" customFormat="1">
      <c r="A170" s="43"/>
      <c r="B170" s="52"/>
      <c r="C170" s="124"/>
      <c r="D170" s="41"/>
      <c r="E170" s="231"/>
      <c r="F170" s="41"/>
      <c r="G170" s="97"/>
      <c r="H170" s="41"/>
      <c r="Q170" s="95"/>
    </row>
    <row r="171" spans="1:17" s="79" customFormat="1">
      <c r="A171" s="43"/>
      <c r="B171" s="52"/>
      <c r="C171" s="207" t="s">
        <v>170</v>
      </c>
      <c r="D171" s="203"/>
      <c r="E171" s="235" t="s">
        <v>171</v>
      </c>
      <c r="F171" s="203"/>
      <c r="G171" s="208" t="s">
        <v>164</v>
      </c>
      <c r="H171" s="41"/>
      <c r="Q171" s="95"/>
    </row>
    <row r="172" spans="1:17" s="79" customFormat="1" ht="162" customHeight="1">
      <c r="A172" s="43" t="s">
        <v>79</v>
      </c>
      <c r="B172" s="10" t="s">
        <v>194</v>
      </c>
      <c r="C172" s="41"/>
      <c r="D172" s="41"/>
      <c r="E172" s="231"/>
      <c r="F172" s="41"/>
      <c r="G172" s="97"/>
      <c r="H172" s="125"/>
      <c r="K172" s="10"/>
      <c r="Q172" s="82"/>
    </row>
    <row r="173" spans="1:17" s="79" customFormat="1">
      <c r="A173" s="43"/>
      <c r="B173" s="52"/>
      <c r="C173" s="41"/>
      <c r="D173" s="41"/>
      <c r="E173" s="231"/>
      <c r="F173" s="41"/>
      <c r="G173" s="97"/>
      <c r="H173" s="125"/>
      <c r="Q173" s="82"/>
    </row>
    <row r="174" spans="1:17" s="79" customFormat="1">
      <c r="A174" s="43"/>
      <c r="B174" s="52" t="s">
        <v>117</v>
      </c>
      <c r="C174" s="216">
        <f>C167</f>
        <v>6</v>
      </c>
      <c r="D174" s="41"/>
      <c r="E174" s="232"/>
      <c r="F174" s="41"/>
      <c r="G174" s="213"/>
      <c r="H174" s="41"/>
      <c r="Q174" s="95"/>
    </row>
    <row r="175" spans="1:17" s="79" customFormat="1">
      <c r="A175" s="43"/>
      <c r="B175" s="52" t="s">
        <v>118</v>
      </c>
      <c r="C175" s="124">
        <f>C168</f>
        <v>2</v>
      </c>
      <c r="D175" s="41"/>
      <c r="E175" s="232"/>
      <c r="F175" s="41"/>
      <c r="G175" s="213"/>
      <c r="H175" s="41"/>
      <c r="Q175" s="95"/>
    </row>
    <row r="176" spans="1:17" s="79" customFormat="1">
      <c r="A176" s="43"/>
      <c r="B176" s="52" t="s">
        <v>119</v>
      </c>
      <c r="C176" s="124">
        <f>C169</f>
        <v>1</v>
      </c>
      <c r="D176" s="41"/>
      <c r="E176" s="232"/>
      <c r="F176" s="41"/>
      <c r="G176" s="213"/>
      <c r="H176" s="41"/>
      <c r="Q176" s="95"/>
    </row>
    <row r="177" spans="1:17" s="79" customFormat="1">
      <c r="A177" s="43"/>
      <c r="B177" s="52"/>
      <c r="C177" s="124"/>
      <c r="D177" s="41"/>
      <c r="E177" s="231"/>
      <c r="F177" s="41"/>
      <c r="G177" s="97"/>
      <c r="H177" s="41"/>
      <c r="Q177" s="95"/>
    </row>
    <row r="178" spans="1:17" s="79" customFormat="1" ht="114" customHeight="1">
      <c r="A178" s="43" t="s">
        <v>125</v>
      </c>
      <c r="B178" s="10" t="s">
        <v>196</v>
      </c>
      <c r="C178" s="41"/>
      <c r="D178" s="41"/>
      <c r="E178" s="231"/>
      <c r="F178" s="41"/>
      <c r="G178" s="97"/>
      <c r="H178" s="125"/>
      <c r="K178" s="10"/>
      <c r="Q178" s="82"/>
    </row>
    <row r="179" spans="1:17" s="79" customFormat="1">
      <c r="A179" s="43"/>
      <c r="B179" s="10"/>
      <c r="C179" s="41"/>
      <c r="D179" s="41"/>
      <c r="E179" s="231"/>
      <c r="F179" s="41"/>
      <c r="G179" s="97"/>
      <c r="H179" s="125"/>
      <c r="K179" s="10"/>
      <c r="Q179" s="82"/>
    </row>
    <row r="180" spans="1:17" s="79" customFormat="1">
      <c r="A180" s="43"/>
      <c r="B180" s="52" t="s">
        <v>120</v>
      </c>
      <c r="C180" s="216">
        <v>1</v>
      </c>
      <c r="D180" s="41"/>
      <c r="E180" s="232"/>
      <c r="F180" s="41"/>
      <c r="G180" s="213"/>
      <c r="H180" s="41"/>
      <c r="Q180" s="95"/>
    </row>
    <row r="181" spans="1:17" s="79" customFormat="1">
      <c r="A181" s="43"/>
      <c r="B181" s="52"/>
      <c r="C181" s="124"/>
      <c r="D181" s="41"/>
      <c r="E181" s="231"/>
      <c r="F181" s="41"/>
      <c r="G181" s="97"/>
      <c r="H181" s="41"/>
      <c r="Q181" s="95"/>
    </row>
    <row r="182" spans="1:17" s="79" customFormat="1" ht="162" customHeight="1">
      <c r="A182" s="43" t="s">
        <v>126</v>
      </c>
      <c r="B182" s="10" t="s">
        <v>197</v>
      </c>
      <c r="C182" s="41"/>
      <c r="D182" s="41"/>
      <c r="E182" s="231"/>
      <c r="F182" s="41"/>
      <c r="G182" s="97"/>
      <c r="H182" s="125"/>
      <c r="K182" s="10"/>
      <c r="Q182" s="82"/>
    </row>
    <row r="183" spans="1:17" s="79" customFormat="1">
      <c r="A183" s="43"/>
      <c r="B183" s="52"/>
      <c r="C183" s="41"/>
      <c r="D183" s="41"/>
      <c r="E183" s="231"/>
      <c r="F183" s="41"/>
      <c r="G183" s="97"/>
      <c r="H183" s="125"/>
      <c r="Q183" s="82"/>
    </row>
    <row r="184" spans="1:17" s="79" customFormat="1">
      <c r="A184" s="43"/>
      <c r="B184" s="52" t="s">
        <v>120</v>
      </c>
      <c r="C184" s="124">
        <f>C180</f>
        <v>1</v>
      </c>
      <c r="D184" s="41"/>
      <c r="E184" s="232"/>
      <c r="F184" s="41"/>
      <c r="G184" s="213"/>
      <c r="H184" s="41"/>
      <c r="Q184" s="95"/>
    </row>
    <row r="185" spans="1:17" s="79" customFormat="1">
      <c r="A185" s="43"/>
      <c r="B185" s="52"/>
      <c r="C185" s="124"/>
      <c r="D185" s="41"/>
      <c r="E185" s="231"/>
      <c r="F185" s="41"/>
      <c r="G185" s="97"/>
      <c r="H185" s="41"/>
      <c r="Q185" s="95"/>
    </row>
    <row r="186" spans="1:17" s="79" customFormat="1" ht="122.25" customHeight="1">
      <c r="A186" s="43" t="s">
        <v>113</v>
      </c>
      <c r="B186" s="10" t="s">
        <v>204</v>
      </c>
      <c r="C186" s="41"/>
      <c r="D186" s="41"/>
      <c r="E186" s="231"/>
      <c r="F186" s="41"/>
      <c r="G186" s="97"/>
      <c r="H186" s="125"/>
      <c r="K186" s="10"/>
      <c r="Q186" s="82"/>
    </row>
    <row r="187" spans="1:17" s="79" customFormat="1">
      <c r="A187" s="43"/>
      <c r="B187" s="52"/>
      <c r="C187" s="124"/>
      <c r="D187" s="41"/>
      <c r="E187" s="231"/>
      <c r="F187" s="41"/>
      <c r="G187" s="97"/>
      <c r="H187" s="41"/>
      <c r="Q187" s="95"/>
    </row>
    <row r="188" spans="1:17" s="79" customFormat="1">
      <c r="A188" s="43"/>
      <c r="B188" s="52" t="s">
        <v>118</v>
      </c>
      <c r="C188" s="216">
        <v>1</v>
      </c>
      <c r="D188" s="41"/>
      <c r="E188" s="232"/>
      <c r="F188" s="41"/>
      <c r="G188" s="213"/>
      <c r="H188" s="41"/>
      <c r="Q188" s="95"/>
    </row>
    <row r="189" spans="1:17" s="79" customFormat="1">
      <c r="A189" s="43"/>
      <c r="B189" s="52"/>
      <c r="C189" s="207" t="s">
        <v>170</v>
      </c>
      <c r="D189" s="203"/>
      <c r="E189" s="235" t="s">
        <v>171</v>
      </c>
      <c r="F189" s="203"/>
      <c r="G189" s="208" t="s">
        <v>164</v>
      </c>
      <c r="H189" s="41"/>
      <c r="Q189" s="95"/>
    </row>
    <row r="190" spans="1:17" s="79" customFormat="1" ht="178.5">
      <c r="A190" s="43" t="s">
        <v>77</v>
      </c>
      <c r="B190" s="10" t="s">
        <v>205</v>
      </c>
      <c r="C190" s="41"/>
      <c r="D190" s="41"/>
      <c r="E190" s="231"/>
      <c r="F190" s="41"/>
      <c r="G190" s="97"/>
      <c r="H190" s="125"/>
      <c r="K190" s="10"/>
      <c r="Q190" s="82"/>
    </row>
    <row r="191" spans="1:17" s="79" customFormat="1">
      <c r="A191" s="43"/>
      <c r="B191" s="52"/>
      <c r="C191" s="41"/>
      <c r="D191" s="41"/>
      <c r="E191" s="231"/>
      <c r="F191" s="41"/>
      <c r="G191" s="97"/>
      <c r="H191" s="125"/>
      <c r="Q191" s="82"/>
    </row>
    <row r="192" spans="1:17" s="79" customFormat="1">
      <c r="A192" s="43"/>
      <c r="B192" s="52" t="s">
        <v>118</v>
      </c>
      <c r="C192" s="216">
        <f>C188</f>
        <v>1</v>
      </c>
      <c r="D192" s="41"/>
      <c r="E192" s="232"/>
      <c r="F192" s="41"/>
      <c r="G192" s="213"/>
      <c r="H192" s="41"/>
      <c r="Q192" s="95"/>
    </row>
    <row r="193" spans="1:17" s="79" customFormat="1">
      <c r="A193" s="43"/>
      <c r="B193" s="52"/>
      <c r="C193" s="124"/>
      <c r="D193" s="41"/>
      <c r="E193" s="231"/>
      <c r="F193" s="41"/>
      <c r="G193" s="97"/>
      <c r="H193" s="41"/>
      <c r="Q193" s="95"/>
    </row>
    <row r="194" spans="1:17" s="79" customFormat="1" ht="122.25" customHeight="1">
      <c r="A194" s="43" t="s">
        <v>114</v>
      </c>
      <c r="B194" s="10" t="s">
        <v>198</v>
      </c>
      <c r="C194" s="41"/>
      <c r="D194" s="41"/>
      <c r="E194" s="231"/>
      <c r="F194" s="41"/>
      <c r="G194" s="97"/>
      <c r="H194" s="125"/>
      <c r="K194" s="10"/>
      <c r="Q194" s="82"/>
    </row>
    <row r="195" spans="1:17" s="79" customFormat="1">
      <c r="A195" s="43"/>
      <c r="B195" s="10"/>
      <c r="C195" s="41"/>
      <c r="D195" s="41"/>
      <c r="E195" s="231"/>
      <c r="F195" s="41"/>
      <c r="G195" s="97"/>
      <c r="H195" s="125"/>
      <c r="K195" s="10"/>
      <c r="Q195" s="82"/>
    </row>
    <row r="196" spans="1:17" s="79" customFormat="1">
      <c r="A196" s="43"/>
      <c r="B196" s="52" t="s">
        <v>120</v>
      </c>
      <c r="C196" s="216">
        <v>1</v>
      </c>
      <c r="D196" s="41"/>
      <c r="E196" s="232"/>
      <c r="F196" s="41"/>
      <c r="G196" s="213"/>
      <c r="H196" s="41"/>
      <c r="Q196" s="95"/>
    </row>
    <row r="197" spans="1:17" s="79" customFormat="1">
      <c r="A197" s="43"/>
      <c r="B197" s="52"/>
      <c r="C197" s="41"/>
      <c r="D197" s="41"/>
      <c r="E197" s="231"/>
      <c r="F197" s="41"/>
      <c r="G197" s="97"/>
      <c r="H197" s="41"/>
      <c r="Q197" s="95"/>
    </row>
    <row r="198" spans="1:17" s="79" customFormat="1" ht="178.5">
      <c r="A198" s="43" t="s">
        <v>107</v>
      </c>
      <c r="B198" s="10" t="s">
        <v>199</v>
      </c>
      <c r="C198" s="41"/>
      <c r="D198" s="41"/>
      <c r="E198" s="231"/>
      <c r="F198" s="41"/>
      <c r="G198" s="97"/>
      <c r="H198" s="125"/>
      <c r="K198" s="10"/>
      <c r="Q198" s="82"/>
    </row>
    <row r="199" spans="1:17" s="79" customFormat="1">
      <c r="A199" s="43"/>
      <c r="B199" s="52"/>
      <c r="C199" s="41"/>
      <c r="D199" s="41"/>
      <c r="E199" s="231"/>
      <c r="F199" s="41"/>
      <c r="G199" s="97"/>
      <c r="H199" s="125"/>
      <c r="Q199" s="82"/>
    </row>
    <row r="200" spans="1:17" s="79" customFormat="1">
      <c r="A200" s="43"/>
      <c r="B200" s="52" t="s">
        <v>120</v>
      </c>
      <c r="C200" s="216">
        <f>C196</f>
        <v>1</v>
      </c>
      <c r="D200" s="41"/>
      <c r="E200" s="232"/>
      <c r="F200" s="41"/>
      <c r="G200" s="213"/>
      <c r="H200" s="41"/>
      <c r="Q200" s="95"/>
    </row>
    <row r="201" spans="1:17" s="5" customFormat="1">
      <c r="A201" s="6"/>
      <c r="B201" s="10"/>
      <c r="C201" s="207" t="s">
        <v>170</v>
      </c>
      <c r="D201" s="203"/>
      <c r="E201" s="235" t="s">
        <v>171</v>
      </c>
      <c r="F201" s="203"/>
      <c r="G201" s="208" t="s">
        <v>164</v>
      </c>
      <c r="H201" s="2"/>
      <c r="Q201" s="89"/>
    </row>
    <row r="202" spans="1:17" s="5" customFormat="1" ht="191.25">
      <c r="A202" s="6" t="s">
        <v>109</v>
      </c>
      <c r="B202" s="126" t="s">
        <v>167</v>
      </c>
      <c r="C202" s="2"/>
      <c r="D202" s="2"/>
      <c r="E202" s="231"/>
      <c r="F202" s="2"/>
      <c r="G202" s="105"/>
      <c r="H202" s="15"/>
      <c r="K202" s="10"/>
      <c r="Q202" s="89"/>
    </row>
    <row r="203" spans="1:17" s="5" customFormat="1">
      <c r="A203" s="6"/>
      <c r="B203" s="10"/>
      <c r="C203" s="2"/>
      <c r="D203" s="2"/>
      <c r="E203" s="231"/>
      <c r="F203" s="2"/>
      <c r="G203" s="105"/>
      <c r="H203" s="15"/>
      <c r="Q203" s="89"/>
    </row>
    <row r="204" spans="1:17" s="5" customFormat="1">
      <c r="A204" s="6"/>
      <c r="B204" s="10" t="s">
        <v>23</v>
      </c>
      <c r="C204" s="217">
        <v>10</v>
      </c>
      <c r="D204" s="2"/>
      <c r="E204" s="232"/>
      <c r="F204" s="2"/>
      <c r="G204" s="218"/>
      <c r="H204" s="2"/>
      <c r="J204" s="122"/>
      <c r="Q204" s="89"/>
    </row>
    <row r="205" spans="1:17">
      <c r="B205" s="52"/>
      <c r="E205" s="231"/>
      <c r="H205" s="61"/>
      <c r="I205" s="38"/>
      <c r="J205" s="38"/>
      <c r="M205" s="38"/>
      <c r="N205" s="38"/>
      <c r="O205" s="38"/>
    </row>
    <row r="206" spans="1:17" ht="40.5" customHeight="1">
      <c r="A206" s="43" t="s">
        <v>1</v>
      </c>
      <c r="B206" s="52" t="s">
        <v>104</v>
      </c>
      <c r="E206" s="231"/>
      <c r="H206" s="61"/>
    </row>
    <row r="207" spans="1:17">
      <c r="B207" s="52"/>
      <c r="E207" s="231"/>
      <c r="H207" s="61"/>
    </row>
    <row r="208" spans="1:17">
      <c r="B208" s="52" t="s">
        <v>23</v>
      </c>
      <c r="C208" s="214">
        <v>12</v>
      </c>
      <c r="E208" s="232"/>
      <c r="G208" s="213"/>
      <c r="H208" s="41"/>
      <c r="Q208" s="95"/>
    </row>
    <row r="209" spans="1:17">
      <c r="B209" s="52"/>
      <c r="E209" s="231"/>
      <c r="H209" s="41"/>
      <c r="Q209" s="95"/>
    </row>
    <row r="210" spans="1:17" ht="30.75" customHeight="1">
      <c r="A210" s="43" t="s">
        <v>105</v>
      </c>
      <c r="B210" s="52" t="s">
        <v>103</v>
      </c>
      <c r="E210" s="231"/>
      <c r="H210" s="61"/>
    </row>
    <row r="211" spans="1:17">
      <c r="B211" s="52"/>
      <c r="E211" s="231"/>
      <c r="H211" s="49"/>
    </row>
    <row r="212" spans="1:17">
      <c r="B212" s="52" t="s">
        <v>22</v>
      </c>
      <c r="C212" s="214">
        <v>197</v>
      </c>
      <c r="E212" s="230"/>
      <c r="G212" s="213"/>
      <c r="H212" s="41"/>
    </row>
    <row r="213" spans="1:17">
      <c r="B213" s="52"/>
      <c r="E213" s="231"/>
      <c r="H213" s="41"/>
      <c r="Q213" s="95"/>
    </row>
    <row r="214" spans="1:17" ht="42.75" customHeight="1">
      <c r="A214" s="43" t="s">
        <v>2</v>
      </c>
      <c r="B214" s="52" t="s">
        <v>102</v>
      </c>
      <c r="E214" s="231"/>
      <c r="H214" s="61"/>
    </row>
    <row r="215" spans="1:17">
      <c r="B215" s="52"/>
      <c r="E215" s="231"/>
      <c r="H215" s="49"/>
    </row>
    <row r="216" spans="1:17">
      <c r="B216" s="52" t="s">
        <v>22</v>
      </c>
      <c r="C216" s="214">
        <v>197</v>
      </c>
      <c r="E216" s="230"/>
      <c r="G216" s="213"/>
      <c r="H216" s="41"/>
    </row>
    <row r="217" spans="1:17">
      <c r="B217" s="52"/>
      <c r="E217" s="240"/>
      <c r="H217" s="41"/>
    </row>
    <row r="218" spans="1:17" ht="22.5" customHeight="1">
      <c r="A218" s="43" t="s">
        <v>110</v>
      </c>
      <c r="B218" s="52" t="s">
        <v>106</v>
      </c>
      <c r="E218" s="231"/>
      <c r="H218" s="61"/>
    </row>
    <row r="219" spans="1:17">
      <c r="B219" s="52"/>
      <c r="E219" s="231"/>
      <c r="H219" s="49"/>
    </row>
    <row r="220" spans="1:17">
      <c r="B220" s="52" t="s">
        <v>22</v>
      </c>
      <c r="C220" s="214">
        <v>197</v>
      </c>
      <c r="E220" s="230"/>
      <c r="G220" s="213"/>
      <c r="H220" s="41"/>
    </row>
    <row r="221" spans="1:17">
      <c r="B221" s="52"/>
      <c r="E221" s="231"/>
      <c r="H221" s="61"/>
    </row>
    <row r="222" spans="1:17" s="5" customFormat="1">
      <c r="A222" s="6"/>
      <c r="B222" s="10"/>
      <c r="C222" s="207" t="s">
        <v>170</v>
      </c>
      <c r="D222" s="203"/>
      <c r="E222" s="235"/>
      <c r="F222" s="203"/>
      <c r="G222" s="208"/>
      <c r="H222" s="15"/>
      <c r="Q222" s="89"/>
    </row>
    <row r="223" spans="1:17" s="64" customFormat="1" ht="63.75">
      <c r="A223" s="43" t="s">
        <v>111</v>
      </c>
      <c r="B223" s="52" t="s">
        <v>9</v>
      </c>
      <c r="C223" s="41"/>
      <c r="D223" s="41"/>
      <c r="E223" s="231"/>
      <c r="F223" s="41"/>
      <c r="G223" s="97"/>
      <c r="H223" s="61"/>
      <c r="I223" s="62"/>
      <c r="J223" s="63"/>
      <c r="M223" s="65"/>
      <c r="N223" s="65"/>
      <c r="O223" s="65"/>
      <c r="Q223" s="82"/>
    </row>
    <row r="224" spans="1:17">
      <c r="B224" s="52"/>
      <c r="C224" s="59"/>
      <c r="D224" s="59"/>
      <c r="E224" s="233"/>
      <c r="F224" s="59"/>
      <c r="G224" s="104"/>
      <c r="H224" s="64"/>
      <c r="Q224" s="87"/>
    </row>
    <row r="225" spans="1:17">
      <c r="B225" s="52" t="s">
        <v>39</v>
      </c>
      <c r="E225" s="231"/>
      <c r="G225" s="213"/>
      <c r="H225" s="41"/>
      <c r="J225" s="97"/>
      <c r="K225" s="97"/>
    </row>
    <row r="226" spans="1:17">
      <c r="B226" s="52"/>
      <c r="E226" s="231"/>
      <c r="H226" s="61"/>
    </row>
    <row r="227" spans="1:17">
      <c r="B227" s="48" t="s">
        <v>24</v>
      </c>
      <c r="C227" s="56"/>
      <c r="D227" s="56"/>
      <c r="E227" s="239"/>
      <c r="F227" s="56"/>
      <c r="G227" s="209"/>
      <c r="Q227" s="86"/>
    </row>
    <row r="228" spans="1:17">
      <c r="B228" s="48"/>
      <c r="C228" s="56"/>
      <c r="D228" s="56"/>
      <c r="E228" s="239"/>
      <c r="F228" s="56"/>
      <c r="G228" s="100"/>
      <c r="Q228" s="86"/>
    </row>
    <row r="229" spans="1:17">
      <c r="A229" s="11" t="s">
        <v>0</v>
      </c>
      <c r="B229" s="9" t="s">
        <v>40</v>
      </c>
      <c r="C229" s="46"/>
      <c r="D229" s="7"/>
      <c r="E229" s="237"/>
      <c r="F229" s="7"/>
      <c r="G229" s="99"/>
      <c r="H229" s="41"/>
      <c r="Q229" s="91"/>
    </row>
    <row r="230" spans="1:17">
      <c r="C230" s="207" t="s">
        <v>170</v>
      </c>
      <c r="D230" s="203"/>
      <c r="E230" s="235" t="s">
        <v>171</v>
      </c>
      <c r="F230" s="203"/>
      <c r="G230" s="208" t="s">
        <v>164</v>
      </c>
      <c r="H230" s="61"/>
    </row>
    <row r="231" spans="1:17" ht="51">
      <c r="A231" s="43" t="s">
        <v>3</v>
      </c>
      <c r="B231" s="53" t="s">
        <v>72</v>
      </c>
      <c r="E231" s="231"/>
      <c r="H231" s="61"/>
    </row>
    <row r="232" spans="1:17">
      <c r="E232" s="231"/>
      <c r="H232" s="61"/>
    </row>
    <row r="233" spans="1:17">
      <c r="B233" s="52" t="s">
        <v>23</v>
      </c>
      <c r="C233" s="214">
        <v>4</v>
      </c>
      <c r="E233" s="230"/>
      <c r="G233" s="213"/>
      <c r="H233" s="41"/>
    </row>
    <row r="234" spans="1:17">
      <c r="H234" s="61"/>
    </row>
    <row r="235" spans="1:17">
      <c r="A235" s="47"/>
      <c r="B235" s="9" t="s">
        <v>44</v>
      </c>
      <c r="C235" s="56"/>
      <c r="D235" s="56"/>
      <c r="E235" s="112"/>
      <c r="F235" s="56"/>
      <c r="G235" s="209"/>
      <c r="Q235" s="86"/>
    </row>
    <row r="236" spans="1:17">
      <c r="H236" s="61"/>
    </row>
    <row r="237" spans="1:17">
      <c r="H237" s="61"/>
    </row>
  </sheetData>
  <sheetProtection selectLockedCells="1"/>
  <mergeCells count="2">
    <mergeCell ref="E23:G23"/>
    <mergeCell ref="E24:G24"/>
  </mergeCells>
  <conditionalFormatting sqref="G14:G18 C42:G66 C69:G93 C99:G118 C122:G130 C132:G143 C147:G167 C174:G188 C190:G200 C202:G220 C225:G227">
    <cfRule type="cellIs" dxfId="14" priority="6" stopIfTrue="1" operator="greaterThan">
      <formula>0</formula>
    </cfRule>
  </conditionalFormatting>
  <pageMargins left="1.1811023622047245" right="0.15748031496062992" top="0.59055118110236227" bottom="0.59055118110236227" header="0.39370078740157483" footer="0.39370078740157483"/>
  <pageSetup paperSize="9" orientation="portrait" useFirstPageNumber="1" r:id="rId1"/>
  <headerFooter alignWithMargins="0">
    <oddHeader xml:space="preserve">&amp;R&amp;"Arial,Navadno"&amp;9KANAL PV2
</oddHeader>
    <oddFooter>&amp;C&amp;"Arial,Navadno"&amp;10&amp;P</oddFooter>
  </headerFooter>
  <rowBreaks count="9" manualBreakCount="9">
    <brk id="34" max="6" man="1"/>
    <brk id="66" max="6" man="1"/>
    <brk id="93" max="6" man="1"/>
    <brk id="118" max="6" man="1"/>
    <brk id="130" max="6" man="1"/>
    <brk id="143" max="6" man="1"/>
    <brk id="170" max="6" man="1"/>
    <brk id="200" max="6" man="1"/>
    <brk id="227"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24</vt:i4>
      </vt:variant>
      <vt:variant>
        <vt:lpstr>Imenovani obsegi</vt:lpstr>
      </vt:variant>
      <vt:variant>
        <vt:i4>22</vt:i4>
      </vt:variant>
    </vt:vector>
  </HeadingPairs>
  <TitlesOfParts>
    <vt:vector size="46" baseType="lpstr">
      <vt:lpstr>KANAL VS1</vt:lpstr>
      <vt:lpstr>KANAL VS2</vt:lpstr>
      <vt:lpstr>KANAL VS3</vt:lpstr>
      <vt:lpstr>KANAL VS4</vt:lpstr>
      <vt:lpstr>KANAL VS5</vt:lpstr>
      <vt:lpstr>KANAL VS6</vt:lpstr>
      <vt:lpstr>TLAČNI VOD TVS</vt:lpstr>
      <vt:lpstr>KANAL PV1</vt:lpstr>
      <vt:lpstr>KANAL PV2</vt:lpstr>
      <vt:lpstr>KANAL PV3</vt:lpstr>
      <vt:lpstr>KANAL PV4</vt:lpstr>
      <vt:lpstr>KANAL PV5</vt:lpstr>
      <vt:lpstr>KANAL PV6</vt:lpstr>
      <vt:lpstr>KANAL PV7</vt:lpstr>
      <vt:lpstr>KANAL PV8</vt:lpstr>
      <vt:lpstr>KANAL PV9</vt:lpstr>
      <vt:lpstr>KANAL PV10</vt:lpstr>
      <vt:lpstr>TLAČNI VOD TPV1</vt:lpstr>
      <vt:lpstr>TLAČNI VOD TPV2</vt:lpstr>
      <vt:lpstr>TLAČNI VOD TPV3</vt:lpstr>
      <vt:lpstr>REKAPITULACIJA</vt:lpstr>
      <vt:lpstr>GD VODOVOD</vt:lpstr>
      <vt:lpstr>GD CESTA</vt:lpstr>
      <vt:lpstr>niz46</vt:lpstr>
      <vt:lpstr>'GD CESTA'!Področje_tiskanja</vt:lpstr>
      <vt:lpstr>'GD VODOVOD'!Področje_tiskanja</vt:lpstr>
      <vt:lpstr>'KANAL PV1'!Področje_tiskanja</vt:lpstr>
      <vt:lpstr>'KANAL PV10'!Področje_tiskanja</vt:lpstr>
      <vt:lpstr>'KANAL PV2'!Področje_tiskanja</vt:lpstr>
      <vt:lpstr>'KANAL PV3'!Področje_tiskanja</vt:lpstr>
      <vt:lpstr>'KANAL PV4'!Področje_tiskanja</vt:lpstr>
      <vt:lpstr>'KANAL PV5'!Področje_tiskanja</vt:lpstr>
      <vt:lpstr>'KANAL PV6'!Področje_tiskanja</vt:lpstr>
      <vt:lpstr>'KANAL PV7'!Področje_tiskanja</vt:lpstr>
      <vt:lpstr>'KANAL PV8'!Področje_tiskanja</vt:lpstr>
      <vt:lpstr>'KANAL PV9'!Področje_tiskanja</vt:lpstr>
      <vt:lpstr>'KANAL VS1'!Področje_tiskanja</vt:lpstr>
      <vt:lpstr>'KANAL VS2'!Področje_tiskanja</vt:lpstr>
      <vt:lpstr>'KANAL VS3'!Področje_tiskanja</vt:lpstr>
      <vt:lpstr>'KANAL VS4'!Področje_tiskanja</vt:lpstr>
      <vt:lpstr>'KANAL VS5'!Področje_tiskanja</vt:lpstr>
      <vt:lpstr>'KANAL VS6'!Področje_tiskanja</vt:lpstr>
      <vt:lpstr>'TLAČNI VOD TPV1'!Področje_tiskanja</vt:lpstr>
      <vt:lpstr>'TLAČNI VOD TPV2'!Področje_tiskanja</vt:lpstr>
      <vt:lpstr>'TLAČNI VOD TPV3'!Področje_tiskanja</vt:lpstr>
      <vt:lpstr>'TLAČNI VOD TVS'!Področje_tiskanja</vt:lpstr>
    </vt:vector>
  </TitlesOfParts>
  <Company>KOMUNALA NM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Marjan M</dc:creator>
  <cp:lastModifiedBy>MONM - Igor Tomažin</cp:lastModifiedBy>
  <cp:lastPrinted>2024-05-16T07:03:17Z</cp:lastPrinted>
  <dcterms:created xsi:type="dcterms:W3CDTF">1997-07-24T06:24:17Z</dcterms:created>
  <dcterms:modified xsi:type="dcterms:W3CDTF">2024-07-16T10:21:43Z</dcterms:modified>
</cp:coreProperties>
</file>